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5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2900" tabRatio="739" firstSheet="1" activeTab="8"/>
  </bookViews>
  <sheets>
    <sheet name="IB_TARTALOMJEGYZÉK" sheetId="185" state="hidden" r:id="rId1"/>
    <sheet name="IB_ALAPADATOK" sheetId="94" r:id="rId2"/>
    <sheet name="IB_ÖSSZEFÜGGÉSEK" sheetId="75" state="hidden" r:id="rId3"/>
    <sheet name="_1.1.sz.mell." sheetId="1" r:id="rId4"/>
    <sheet name="_1.2.sz.mell." sheetId="142" r:id="rId5"/>
    <sheet name="1.3.sz.mell." sheetId="143" r:id="rId6"/>
    <sheet name="1.4.sz.mell." sheetId="144" r:id="rId7"/>
    <sheet name="2.1.sz.mell" sheetId="73" r:id="rId8"/>
    <sheet name="2.2.sz.mell" sheetId="61" r:id="rId9"/>
    <sheet name="IB_ELLENŐRZÉS" sheetId="76" state="hidden" r:id="rId10"/>
    <sheet name="IB_3.sz.mell." sheetId="63" state="hidden" r:id="rId11"/>
    <sheet name="IB_4.sz.mell." sheetId="64" state="hidden" r:id="rId12"/>
    <sheet name="IB_5.sz.mell." sheetId="132" state="hidden" r:id="rId13"/>
    <sheet name="9.1.sz.mell" sheetId="3" r:id="rId14"/>
    <sheet name="9.1.1.sz.mell" sheetId="133" r:id="rId15"/>
    <sheet name="9.1.2.sz.mell" sheetId="134" r:id="rId16"/>
    <sheet name="9.1.3.sz.mell" sheetId="135" r:id="rId17"/>
    <sheet name="9.2.sz.mell" sheetId="79" r:id="rId18"/>
    <sheet name="9.2.1.sz.mell" sheetId="138" r:id="rId19"/>
    <sheet name="IB_6.2.2.sz.mell" sheetId="137" state="hidden" r:id="rId20"/>
    <sheet name="9.2.3.sz.mell" sheetId="136" r:id="rId21"/>
    <sheet name="IB_9.3.sz.mell" sheetId="105" r:id="rId22"/>
    <sheet name="9.3.1.sz.mell" sheetId="139" r:id="rId23"/>
    <sheet name="IB_6.3.2.sz.mell" sheetId="140" state="hidden" r:id="rId24"/>
    <sheet name="IB_6.3.3.sz.mell" sheetId="141" state="hidden" r:id="rId25"/>
    <sheet name="9.4.sz.mell" sheetId="145" r:id="rId26"/>
    <sheet name="IB_9.4.1.sz.mell" sheetId="146" r:id="rId27"/>
    <sheet name="IB_6.4.2.sz.mell" sheetId="147" state="hidden" r:id="rId28"/>
    <sheet name="IB_6.4.3.sz.mell" sheetId="148" state="hidden" r:id="rId29"/>
    <sheet name="9.5.sz.mell" sheetId="149" r:id="rId30"/>
    <sheet name="9.5.1.sz.mell" sheetId="150" r:id="rId31"/>
    <sheet name="IB_6.5.2.sz.mell" sheetId="151" state="hidden" r:id="rId32"/>
    <sheet name="IB_6.5.3.sz.mell" sheetId="152" state="hidden" r:id="rId33"/>
    <sheet name="IB_6.6.sz.mell" sheetId="153" state="hidden" r:id="rId34"/>
    <sheet name="IB_6.6.1.sz.mell" sheetId="154" state="hidden" r:id="rId35"/>
    <sheet name="IB_6.6.2.sz.mell" sheetId="155" state="hidden" r:id="rId36"/>
    <sheet name="IB_6.6.3.sz.mell" sheetId="156" state="hidden" r:id="rId37"/>
    <sheet name="IB_6.7.sz.mell" sheetId="157" state="hidden" r:id="rId38"/>
    <sheet name="IB_6.7.1.sz.mell" sheetId="158" state="hidden" r:id="rId39"/>
    <sheet name="IB_6.7.2.sz.mell" sheetId="159" state="hidden" r:id="rId40"/>
    <sheet name="IB_6.7.3.sz.mell" sheetId="160" state="hidden" r:id="rId41"/>
    <sheet name="IB_6.8.sz.mell" sheetId="161" state="hidden" r:id="rId42"/>
    <sheet name="IB_6.8.1.sz.mell" sheetId="162" state="hidden" r:id="rId43"/>
    <sheet name="IB_6.8.2.sz.mell" sheetId="163" state="hidden" r:id="rId44"/>
    <sheet name="IB_6.8.3.sz.mell" sheetId="164" state="hidden" r:id="rId45"/>
    <sheet name="IB_6.9.sz.mell" sheetId="169" state="hidden" r:id="rId46"/>
    <sheet name="IB_6.9.1.sz.mell" sheetId="170" state="hidden" r:id="rId47"/>
    <sheet name="IB_6.9.2.sz.mell" sheetId="171" state="hidden" r:id="rId48"/>
    <sheet name="IB_6.9.3.sz.mell" sheetId="172" state="hidden" r:id="rId49"/>
    <sheet name="IB_6.10.sz.mell" sheetId="173" state="hidden" r:id="rId50"/>
    <sheet name="IB_6.10.1.sz.mell" sheetId="174" state="hidden" r:id="rId51"/>
    <sheet name="IB_6.10.2.sz.mell" sheetId="175" state="hidden" r:id="rId52"/>
    <sheet name="IB_6.10.3.sz.mell" sheetId="176" state="hidden" r:id="rId53"/>
    <sheet name="IB_6.11.sz.mell" sheetId="177" state="hidden" r:id="rId54"/>
    <sheet name="IB_6.11.1.sz.mell" sheetId="178" state="hidden" r:id="rId55"/>
    <sheet name="IB_6.11.2.sz.mell" sheetId="179" state="hidden" r:id="rId56"/>
    <sheet name="IB_6.11.3.sz.mell" sheetId="180" state="hidden" r:id="rId57"/>
    <sheet name="IB_6.12.sz.mell" sheetId="181" state="hidden" r:id="rId58"/>
    <sheet name="IB_6.12.1.sz.mell" sheetId="182" state="hidden" r:id="rId59"/>
    <sheet name="IB_6.12.2.sz.mell" sheetId="183" state="hidden" r:id="rId60"/>
    <sheet name="IB_6.12.3.sz.mell" sheetId="184" state="hidden" r:id="rId61"/>
    <sheet name="10.sz.mell." sheetId="89" r:id="rId62"/>
    <sheet name="Munka1" sheetId="186" state="hidden" r:id="rId63"/>
  </sheets>
  <definedNames>
    <definedName name="_xlnm.Print_Titles" localSheetId="14">'9.1.1.sz.mell'!$1:$6</definedName>
    <definedName name="_xlnm.Print_Titles" localSheetId="15">'9.1.2.sz.mell'!$1:$6</definedName>
    <definedName name="_xlnm.Print_Titles" localSheetId="16">'9.1.3.sz.mell'!$1:$6</definedName>
    <definedName name="_xlnm.Print_Titles" localSheetId="13">'9.1.sz.mell'!$1:$6</definedName>
    <definedName name="_xlnm.Print_Titles" localSheetId="18">'9.2.1.sz.mell'!$1:$6</definedName>
    <definedName name="_xlnm.Print_Titles" localSheetId="20">'9.2.3.sz.mell'!$1:$6</definedName>
    <definedName name="_xlnm.Print_Titles" localSheetId="17">'9.2.sz.mell'!$1:$6</definedName>
    <definedName name="_xlnm.Print_Titles" localSheetId="22">'9.3.1.sz.mell'!$1:$6</definedName>
    <definedName name="_xlnm.Print_Titles" localSheetId="25">'9.4.sz.mell'!$1:$6</definedName>
    <definedName name="_xlnm.Print_Titles" localSheetId="30">'9.5.1.sz.mell'!$1:$6</definedName>
    <definedName name="_xlnm.Print_Titles" localSheetId="29">'9.5.sz.mell'!$1:$6</definedName>
    <definedName name="_xlnm.Print_Titles" localSheetId="50">IB_6.10.1.sz.mell!$1:$6</definedName>
    <definedName name="_xlnm.Print_Titles" localSheetId="51">IB_6.10.2.sz.mell!$1:$6</definedName>
    <definedName name="_xlnm.Print_Titles" localSheetId="52">IB_6.10.3.sz.mell!$1:$6</definedName>
    <definedName name="_xlnm.Print_Titles" localSheetId="49">IB_6.10.sz.mell!$1:$6</definedName>
    <definedName name="_xlnm.Print_Titles" localSheetId="54">IB_6.11.1.sz.mell!$1:$6</definedName>
    <definedName name="_xlnm.Print_Titles" localSheetId="55">IB_6.11.2.sz.mell!$1:$6</definedName>
    <definedName name="_xlnm.Print_Titles" localSheetId="56">IB_6.11.3.sz.mell!$1:$6</definedName>
    <definedName name="_xlnm.Print_Titles" localSheetId="53">IB_6.11.sz.mell!$1:$6</definedName>
    <definedName name="_xlnm.Print_Titles" localSheetId="58">IB_6.12.1.sz.mell!$1:$6</definedName>
    <definedName name="_xlnm.Print_Titles" localSheetId="59">IB_6.12.2.sz.mell!$1:$6</definedName>
    <definedName name="_xlnm.Print_Titles" localSheetId="60">IB_6.12.3.sz.mell!$1:$6</definedName>
    <definedName name="_xlnm.Print_Titles" localSheetId="57">IB_6.12.sz.mell!$1:$6</definedName>
    <definedName name="_xlnm.Print_Titles" localSheetId="19">IB_6.2.2.sz.mell!$1:$6</definedName>
    <definedName name="_xlnm.Print_Titles" localSheetId="23">IB_6.3.2.sz.mell!$1:$6</definedName>
    <definedName name="_xlnm.Print_Titles" localSheetId="24">IB_6.3.3.sz.mell!$1:$6</definedName>
    <definedName name="_xlnm.Print_Titles" localSheetId="27">IB_6.4.2.sz.mell!$1:$6</definedName>
    <definedName name="_xlnm.Print_Titles" localSheetId="28">IB_6.4.3.sz.mell!$1:$6</definedName>
    <definedName name="_xlnm.Print_Titles" localSheetId="31">IB_6.5.2.sz.mell!$1:$6</definedName>
    <definedName name="_xlnm.Print_Titles" localSheetId="32">IB_6.5.3.sz.mell!$1:$6</definedName>
    <definedName name="_xlnm.Print_Titles" localSheetId="34">IB_6.6.1.sz.mell!$1:$6</definedName>
    <definedName name="_xlnm.Print_Titles" localSheetId="35">IB_6.6.2.sz.mell!$1:$6</definedName>
    <definedName name="_xlnm.Print_Titles" localSheetId="36">IB_6.6.3.sz.mell!$1:$6</definedName>
    <definedName name="_xlnm.Print_Titles" localSheetId="33">IB_6.6.sz.mell!$1:$6</definedName>
    <definedName name="_xlnm.Print_Titles" localSheetId="38">IB_6.7.1.sz.mell!$1:$6</definedName>
    <definedName name="_xlnm.Print_Titles" localSheetId="39">IB_6.7.2.sz.mell!$1:$6</definedName>
    <definedName name="_xlnm.Print_Titles" localSheetId="40">IB_6.7.3.sz.mell!$1:$6</definedName>
    <definedName name="_xlnm.Print_Titles" localSheetId="37">IB_6.7.sz.mell!$1:$6</definedName>
    <definedName name="_xlnm.Print_Titles" localSheetId="42">IB_6.8.1.sz.mell!$1:$6</definedName>
    <definedName name="_xlnm.Print_Titles" localSheetId="43">IB_6.8.2.sz.mell!$1:$6</definedName>
    <definedName name="_xlnm.Print_Titles" localSheetId="44">IB_6.8.3.sz.mell!$1:$6</definedName>
    <definedName name="_xlnm.Print_Titles" localSheetId="41">IB_6.8.sz.mell!$1:$6</definedName>
    <definedName name="_xlnm.Print_Titles" localSheetId="46">IB_6.9.1.sz.mell!$1:$6</definedName>
    <definedName name="_xlnm.Print_Titles" localSheetId="47">IB_6.9.2.sz.mell!$1:$6</definedName>
    <definedName name="_xlnm.Print_Titles" localSheetId="48">IB_6.9.3.sz.mell!$1:$6</definedName>
    <definedName name="_xlnm.Print_Titles" localSheetId="45">IB_6.9.sz.mell!$1:$6</definedName>
    <definedName name="_xlnm.Print_Titles" localSheetId="21">IB_9.3.sz.mell!$1:$6</definedName>
    <definedName name="_xlnm.Print_Titles" localSheetId="26">IB_9.4.1.sz.mell!$1:$6</definedName>
    <definedName name="_xlnm.Print_Area" localSheetId="3">_1.1.sz.mell.!$A$1:$E$166</definedName>
    <definedName name="_xlnm.Print_Area" localSheetId="4">_1.2.sz.mell.!$A$1:$E$166</definedName>
    <definedName name="_xlnm.Print_Area" localSheetId="5">'1.3.sz.mell.'!$A$1:$E$166</definedName>
    <definedName name="_xlnm.Print_Area" localSheetId="6">'1.4.sz.mell.'!$A$1:$E$166</definedName>
  </definedNames>
  <calcPr calcId="125725"/>
</workbook>
</file>

<file path=xl/calcChain.xml><?xml version="1.0" encoding="utf-8"?>
<calcChain xmlns="http://schemas.openxmlformats.org/spreadsheetml/2006/main">
  <c r="B1" i="3"/>
  <c r="B1" i="89"/>
  <c r="B1" i="150"/>
  <c r="B1" i="149"/>
  <c r="B1" i="146"/>
  <c r="B1" i="145"/>
  <c r="B1" i="139"/>
  <c r="B1" i="105"/>
  <c r="B1" i="136"/>
  <c r="B1" i="138"/>
  <c r="B1" i="79"/>
  <c r="B1" i="135"/>
  <c r="E1" i="134"/>
  <c r="B1" i="133"/>
  <c r="B2" i="79"/>
  <c r="B2" i="138" s="1"/>
  <c r="B2" i="137" s="1"/>
  <c r="B2" i="136" s="1"/>
  <c r="E18" i="73"/>
  <c r="D18"/>
  <c r="C18"/>
  <c r="B33" i="185"/>
  <c r="B32"/>
  <c r="B31"/>
  <c r="B30"/>
  <c r="B29"/>
  <c r="B28"/>
  <c r="B27"/>
  <c r="B26"/>
  <c r="B25"/>
  <c r="B24"/>
  <c r="B23"/>
  <c r="B1" i="184"/>
  <c r="B1" i="183"/>
  <c r="B1" i="182"/>
  <c r="B1" i="181"/>
  <c r="B1" i="180"/>
  <c r="B1" i="179"/>
  <c r="B1" i="178"/>
  <c r="B1" i="177"/>
  <c r="B1" i="176"/>
  <c r="B1" i="175"/>
  <c r="B1" i="174"/>
  <c r="B1" i="173"/>
  <c r="B1" i="172"/>
  <c r="B1" i="171"/>
  <c r="B1" i="170"/>
  <c r="B1" i="169"/>
  <c r="B1" i="164"/>
  <c r="B1" i="163"/>
  <c r="B1" i="162"/>
  <c r="B1" i="161"/>
  <c r="B1" i="160"/>
  <c r="B1" i="159"/>
  <c r="B1" i="158"/>
  <c r="B1" i="157"/>
  <c r="B1" i="156"/>
  <c r="B1" i="155"/>
  <c r="B1" i="154"/>
  <c r="B1" i="153"/>
  <c r="B1" i="152"/>
  <c r="B1" i="151"/>
  <c r="B1" i="148"/>
  <c r="B1" i="147"/>
  <c r="B1" i="141"/>
  <c r="B1" i="140"/>
  <c r="B1" i="137"/>
  <c r="A1" i="132"/>
  <c r="B1" i="64"/>
  <c r="B1" i="63"/>
  <c r="J1" i="61"/>
  <c r="J1" i="73"/>
  <c r="B1" i="144"/>
  <c r="B1" i="143"/>
  <c r="B1" i="142"/>
  <c r="B1" i="1"/>
  <c r="B34" i="185"/>
  <c r="B18"/>
  <c r="B10"/>
  <c r="C8" i="94"/>
  <c r="A3" i="143" s="1"/>
  <c r="B11" i="185" s="1"/>
  <c r="B2" i="3"/>
  <c r="B2" i="181"/>
  <c r="B2" i="182" s="1"/>
  <c r="B2" i="183" s="1"/>
  <c r="B2" i="184" s="1"/>
  <c r="E51"/>
  <c r="D51"/>
  <c r="C51"/>
  <c r="C57"/>
  <c r="E45"/>
  <c r="E57" s="1"/>
  <c r="D45"/>
  <c r="D57"/>
  <c r="C45"/>
  <c r="E37"/>
  <c r="D37"/>
  <c r="C37"/>
  <c r="E30"/>
  <c r="D30"/>
  <c r="C30"/>
  <c r="E26"/>
  <c r="D26"/>
  <c r="C26"/>
  <c r="E20"/>
  <c r="D20"/>
  <c r="C20"/>
  <c r="E8"/>
  <c r="D8"/>
  <c r="D36"/>
  <c r="D41" s="1"/>
  <c r="D58" s="1"/>
  <c r="C8"/>
  <c r="E5"/>
  <c r="E51" i="183"/>
  <c r="D51"/>
  <c r="C51"/>
  <c r="E45"/>
  <c r="E57" s="1"/>
  <c r="D45"/>
  <c r="D57"/>
  <c r="C45"/>
  <c r="C57" s="1"/>
  <c r="E37"/>
  <c r="D37"/>
  <c r="C37"/>
  <c r="E30"/>
  <c r="D30"/>
  <c r="C30"/>
  <c r="E26"/>
  <c r="D26"/>
  <c r="C26"/>
  <c r="C36" s="1"/>
  <c r="C41" s="1"/>
  <c r="C58" s="1"/>
  <c r="E20"/>
  <c r="D20"/>
  <c r="C20"/>
  <c r="E8"/>
  <c r="E36" s="1"/>
  <c r="E41" s="1"/>
  <c r="D8"/>
  <c r="C8"/>
  <c r="E5"/>
  <c r="E51" i="182"/>
  <c r="D51"/>
  <c r="C51"/>
  <c r="E45"/>
  <c r="E57" s="1"/>
  <c r="D45"/>
  <c r="D57" s="1"/>
  <c r="C45"/>
  <c r="C57" s="1"/>
  <c r="E37"/>
  <c r="D37"/>
  <c r="C37"/>
  <c r="E30"/>
  <c r="D30"/>
  <c r="D36" s="1"/>
  <c r="D41" s="1"/>
  <c r="C30"/>
  <c r="E26"/>
  <c r="D26"/>
  <c r="C26"/>
  <c r="C36" s="1"/>
  <c r="C41" s="1"/>
  <c r="E20"/>
  <c r="D20"/>
  <c r="C20"/>
  <c r="E8"/>
  <c r="D8"/>
  <c r="C8"/>
  <c r="E5"/>
  <c r="E51" i="181"/>
  <c r="D51"/>
  <c r="C51"/>
  <c r="C57" s="1"/>
  <c r="E45"/>
  <c r="E57"/>
  <c r="D45"/>
  <c r="D57"/>
  <c r="C45"/>
  <c r="E37"/>
  <c r="D37"/>
  <c r="C37"/>
  <c r="E30"/>
  <c r="D30"/>
  <c r="C30"/>
  <c r="E26"/>
  <c r="D26"/>
  <c r="C26"/>
  <c r="E20"/>
  <c r="D20"/>
  <c r="C20"/>
  <c r="E8"/>
  <c r="D8"/>
  <c r="D36" s="1"/>
  <c r="D41" s="1"/>
  <c r="D58" s="1"/>
  <c r="C8"/>
  <c r="C36" s="1"/>
  <c r="C41" s="1"/>
  <c r="C58" s="1"/>
  <c r="E5"/>
  <c r="B2" i="177"/>
  <c r="B2" i="178" s="1"/>
  <c r="B2" i="179" s="1"/>
  <c r="B2" i="180" s="1"/>
  <c r="E51"/>
  <c r="D51"/>
  <c r="C51"/>
  <c r="E45"/>
  <c r="D45"/>
  <c r="D57" s="1"/>
  <c r="C45"/>
  <c r="C57" s="1"/>
  <c r="E37"/>
  <c r="D37"/>
  <c r="C37"/>
  <c r="E30"/>
  <c r="D30"/>
  <c r="C30"/>
  <c r="E26"/>
  <c r="D26"/>
  <c r="C26"/>
  <c r="C36" s="1"/>
  <c r="C41" s="1"/>
  <c r="C58" s="1"/>
  <c r="E20"/>
  <c r="D20"/>
  <c r="D36"/>
  <c r="D41" s="1"/>
  <c r="C20"/>
  <c r="E8"/>
  <c r="E36" s="1"/>
  <c r="E41" s="1"/>
  <c r="D8"/>
  <c r="C8"/>
  <c r="E5"/>
  <c r="E51" i="179"/>
  <c r="D51"/>
  <c r="C51"/>
  <c r="E45"/>
  <c r="E57" s="1"/>
  <c r="D45"/>
  <c r="D57" s="1"/>
  <c r="C45"/>
  <c r="C57" s="1"/>
  <c r="E37"/>
  <c r="D37"/>
  <c r="C37"/>
  <c r="E30"/>
  <c r="D30"/>
  <c r="C30"/>
  <c r="E26"/>
  <c r="D26"/>
  <c r="C26"/>
  <c r="E20"/>
  <c r="D20"/>
  <c r="C20"/>
  <c r="E8"/>
  <c r="D8"/>
  <c r="D36"/>
  <c r="D41" s="1"/>
  <c r="D58" s="1"/>
  <c r="C8"/>
  <c r="C36" s="1"/>
  <c r="C41" s="1"/>
  <c r="C58" s="1"/>
  <c r="E5"/>
  <c r="E51" i="178"/>
  <c r="D51"/>
  <c r="C51"/>
  <c r="E45"/>
  <c r="E57" s="1"/>
  <c r="D45"/>
  <c r="D57" s="1"/>
  <c r="C45"/>
  <c r="C57" s="1"/>
  <c r="E37"/>
  <c r="D37"/>
  <c r="C37"/>
  <c r="E30"/>
  <c r="E36"/>
  <c r="D30"/>
  <c r="C30"/>
  <c r="E26"/>
  <c r="D26"/>
  <c r="C26"/>
  <c r="E20"/>
  <c r="D20"/>
  <c r="C20"/>
  <c r="C36"/>
  <c r="C41" s="1"/>
  <c r="C58" s="1"/>
  <c r="E8"/>
  <c r="D8"/>
  <c r="D36" s="1"/>
  <c r="D41" s="1"/>
  <c r="C8"/>
  <c r="E5"/>
  <c r="E51" i="177"/>
  <c r="D51"/>
  <c r="C51"/>
  <c r="E45"/>
  <c r="E57" s="1"/>
  <c r="D45"/>
  <c r="D57" s="1"/>
  <c r="C45"/>
  <c r="C57" s="1"/>
  <c r="E37"/>
  <c r="D37"/>
  <c r="C37"/>
  <c r="E30"/>
  <c r="D30"/>
  <c r="D36" s="1"/>
  <c r="D41" s="1"/>
  <c r="C30"/>
  <c r="E26"/>
  <c r="D26"/>
  <c r="C26"/>
  <c r="E20"/>
  <c r="D20"/>
  <c r="C20"/>
  <c r="E8"/>
  <c r="D8"/>
  <c r="C8"/>
  <c r="E5"/>
  <c r="B2" i="173"/>
  <c r="B2" i="174" s="1"/>
  <c r="B2" i="175" s="1"/>
  <c r="B2" i="176" s="1"/>
  <c r="E51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E5"/>
  <c r="E51" i="175"/>
  <c r="D51"/>
  <c r="C51"/>
  <c r="E45"/>
  <c r="E57" s="1"/>
  <c r="D45"/>
  <c r="D57" s="1"/>
  <c r="C45"/>
  <c r="C57" s="1"/>
  <c r="E37"/>
  <c r="D37"/>
  <c r="C37"/>
  <c r="E30"/>
  <c r="D30"/>
  <c r="C30"/>
  <c r="E26"/>
  <c r="D26"/>
  <c r="C26"/>
  <c r="E20"/>
  <c r="D20"/>
  <c r="D36" s="1"/>
  <c r="D41" s="1"/>
  <c r="D58" s="1"/>
  <c r="C20"/>
  <c r="E8"/>
  <c r="D8"/>
  <c r="C8"/>
  <c r="C36"/>
  <c r="C41" s="1"/>
  <c r="C58" s="1"/>
  <c r="E5"/>
  <c r="E51" i="174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C8"/>
  <c r="C36"/>
  <c r="C41" s="1"/>
  <c r="C58" s="1"/>
  <c r="E5"/>
  <c r="E51" i="173"/>
  <c r="D51"/>
  <c r="C51"/>
  <c r="C57"/>
  <c r="E45"/>
  <c r="E57" s="1"/>
  <c r="D45"/>
  <c r="D57" s="1"/>
  <c r="C45"/>
  <c r="E37"/>
  <c r="D37"/>
  <c r="C37"/>
  <c r="E30"/>
  <c r="D30"/>
  <c r="C30"/>
  <c r="E26"/>
  <c r="D26"/>
  <c r="C26"/>
  <c r="E20"/>
  <c r="D20"/>
  <c r="C20"/>
  <c r="E8"/>
  <c r="D8"/>
  <c r="C8"/>
  <c r="E5"/>
  <c r="B2" i="169"/>
  <c r="B2" i="170" s="1"/>
  <c r="B2" i="171" s="1"/>
  <c r="B2" i="172" s="1"/>
  <c r="E51"/>
  <c r="D51"/>
  <c r="C51"/>
  <c r="E45"/>
  <c r="E57"/>
  <c r="D45"/>
  <c r="D57"/>
  <c r="C45"/>
  <c r="C57"/>
  <c r="E37"/>
  <c r="D37"/>
  <c r="C37"/>
  <c r="E30"/>
  <c r="D30"/>
  <c r="C30"/>
  <c r="E26"/>
  <c r="E36"/>
  <c r="D26"/>
  <c r="C26"/>
  <c r="E20"/>
  <c r="D20"/>
  <c r="C20"/>
  <c r="E8"/>
  <c r="D8"/>
  <c r="D36"/>
  <c r="D41" s="1"/>
  <c r="D58" s="1"/>
  <c r="C8"/>
  <c r="C36"/>
  <c r="C41" s="1"/>
  <c r="C58" s="1"/>
  <c r="E5"/>
  <c r="E51" i="171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D36" s="1"/>
  <c r="D41" s="1"/>
  <c r="D58" s="1"/>
  <c r="C20"/>
  <c r="E8"/>
  <c r="D8"/>
  <c r="C8"/>
  <c r="C36" s="1"/>
  <c r="C41" s="1"/>
  <c r="C58" s="1"/>
  <c r="E5"/>
  <c r="E51" i="170"/>
  <c r="D51"/>
  <c r="C51"/>
  <c r="E45"/>
  <c r="E57" s="1"/>
  <c r="D45"/>
  <c r="D57" s="1"/>
  <c r="C45"/>
  <c r="C57"/>
  <c r="E37"/>
  <c r="D37"/>
  <c r="C37"/>
  <c r="E30"/>
  <c r="D30"/>
  <c r="C30"/>
  <c r="E26"/>
  <c r="D26"/>
  <c r="C26"/>
  <c r="C36"/>
  <c r="E20"/>
  <c r="D20"/>
  <c r="C20"/>
  <c r="E8"/>
  <c r="E36" s="1"/>
  <c r="E41" s="1"/>
  <c r="D8"/>
  <c r="C8"/>
  <c r="E5"/>
  <c r="E51" i="169"/>
  <c r="D51"/>
  <c r="C51"/>
  <c r="E45"/>
  <c r="E57" s="1"/>
  <c r="D45"/>
  <c r="D57" s="1"/>
  <c r="C45"/>
  <c r="C57" s="1"/>
  <c r="E37"/>
  <c r="D37"/>
  <c r="C37"/>
  <c r="E30"/>
  <c r="D30"/>
  <c r="D36" s="1"/>
  <c r="D41" s="1"/>
  <c r="D58" s="1"/>
  <c r="C30"/>
  <c r="E26"/>
  <c r="D26"/>
  <c r="C26"/>
  <c r="E20"/>
  <c r="D20"/>
  <c r="C20"/>
  <c r="E8"/>
  <c r="D8"/>
  <c r="C8"/>
  <c r="E5"/>
  <c r="B2" i="161"/>
  <c r="B2" i="162" s="1"/>
  <c r="B2" i="163" s="1"/>
  <c r="B2" i="164" s="1"/>
  <c r="E51"/>
  <c r="D51"/>
  <c r="C51"/>
  <c r="C57" s="1"/>
  <c r="E45"/>
  <c r="E57"/>
  <c r="D45"/>
  <c r="D57"/>
  <c r="C45"/>
  <c r="E37"/>
  <c r="D37"/>
  <c r="C37"/>
  <c r="E30"/>
  <c r="D30"/>
  <c r="C30"/>
  <c r="E26"/>
  <c r="D26"/>
  <c r="C26"/>
  <c r="E20"/>
  <c r="D20"/>
  <c r="C20"/>
  <c r="E8"/>
  <c r="D8"/>
  <c r="D36" s="1"/>
  <c r="D41" s="1"/>
  <c r="D58" s="1"/>
  <c r="C8"/>
  <c r="C36" s="1"/>
  <c r="C41" s="1"/>
  <c r="C58" s="1"/>
  <c r="E5"/>
  <c r="E51" i="163"/>
  <c r="D51"/>
  <c r="C51"/>
  <c r="E45"/>
  <c r="E57" s="1"/>
  <c r="D45"/>
  <c r="D57" s="1"/>
  <c r="C45"/>
  <c r="C57" s="1"/>
  <c r="E37"/>
  <c r="D37"/>
  <c r="C37"/>
  <c r="E30"/>
  <c r="D30"/>
  <c r="C30"/>
  <c r="E26"/>
  <c r="D26"/>
  <c r="C26"/>
  <c r="E20"/>
  <c r="D20"/>
  <c r="C20"/>
  <c r="E8"/>
  <c r="D8"/>
  <c r="D36" s="1"/>
  <c r="D41" s="1"/>
  <c r="D58" s="1"/>
  <c r="C8"/>
  <c r="E5"/>
  <c r="E51" i="162"/>
  <c r="D51"/>
  <c r="C51"/>
  <c r="E45"/>
  <c r="E57" s="1"/>
  <c r="D45"/>
  <c r="D57" s="1"/>
  <c r="C45"/>
  <c r="C57"/>
  <c r="E37"/>
  <c r="D37"/>
  <c r="C37"/>
  <c r="E30"/>
  <c r="D30"/>
  <c r="C30"/>
  <c r="E26"/>
  <c r="D26"/>
  <c r="C26"/>
  <c r="E20"/>
  <c r="D20"/>
  <c r="C20"/>
  <c r="E8"/>
  <c r="D8"/>
  <c r="C8"/>
  <c r="C36" s="1"/>
  <c r="C41" s="1"/>
  <c r="C58" s="1"/>
  <c r="E5"/>
  <c r="E51" i="161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E36" s="1"/>
  <c r="E41" s="1"/>
  <c r="D8"/>
  <c r="D36"/>
  <c r="D41" s="1"/>
  <c r="D58" s="1"/>
  <c r="C8"/>
  <c r="C36" s="1"/>
  <c r="C41" s="1"/>
  <c r="C58" s="1"/>
  <c r="E5"/>
  <c r="B2" i="157"/>
  <c r="B2" i="158"/>
  <c r="B2" i="159" s="1"/>
  <c r="B2" i="160" s="1"/>
  <c r="E51"/>
  <c r="D51"/>
  <c r="C51"/>
  <c r="E45"/>
  <c r="E57" s="1"/>
  <c r="D45"/>
  <c r="D57" s="1"/>
  <c r="C45"/>
  <c r="C57" s="1"/>
  <c r="E37"/>
  <c r="D37"/>
  <c r="C37"/>
  <c r="E30"/>
  <c r="D30"/>
  <c r="C30"/>
  <c r="E26"/>
  <c r="D26"/>
  <c r="C26"/>
  <c r="E20"/>
  <c r="D20"/>
  <c r="C20"/>
  <c r="E8"/>
  <c r="E36"/>
  <c r="D8"/>
  <c r="D36" s="1"/>
  <c r="D41" s="1"/>
  <c r="D58" s="1"/>
  <c r="C8"/>
  <c r="E5"/>
  <c r="E51" i="159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D36" s="1"/>
  <c r="D41" s="1"/>
  <c r="D58" s="1"/>
  <c r="C8"/>
  <c r="C36" s="1"/>
  <c r="C41" s="1"/>
  <c r="C58" s="1"/>
  <c r="E5"/>
  <c r="E51" i="158"/>
  <c r="D51"/>
  <c r="C51"/>
  <c r="C57"/>
  <c r="E45"/>
  <c r="E57"/>
  <c r="D45"/>
  <c r="D57"/>
  <c r="C45"/>
  <c r="E37"/>
  <c r="D37"/>
  <c r="C37"/>
  <c r="E30"/>
  <c r="D30"/>
  <c r="C30"/>
  <c r="E26"/>
  <c r="D26"/>
  <c r="C26"/>
  <c r="E20"/>
  <c r="D20"/>
  <c r="C20"/>
  <c r="E8"/>
  <c r="E36" s="1"/>
  <c r="E41" s="1"/>
  <c r="D8"/>
  <c r="D36"/>
  <c r="D41" s="1"/>
  <c r="D58" s="1"/>
  <c r="C8"/>
  <c r="E5"/>
  <c r="E51" i="157"/>
  <c r="D51"/>
  <c r="C51"/>
  <c r="E45"/>
  <c r="E57" s="1"/>
  <c r="D45"/>
  <c r="D57" s="1"/>
  <c r="C45"/>
  <c r="C57" s="1"/>
  <c r="E37"/>
  <c r="D37"/>
  <c r="C37"/>
  <c r="E30"/>
  <c r="D30"/>
  <c r="C30"/>
  <c r="E26"/>
  <c r="D26"/>
  <c r="C26"/>
  <c r="E20"/>
  <c r="D20"/>
  <c r="C20"/>
  <c r="E8"/>
  <c r="D8"/>
  <c r="D36" s="1"/>
  <c r="D41" s="1"/>
  <c r="C8"/>
  <c r="C36"/>
  <c r="C41" s="1"/>
  <c r="C58" s="1"/>
  <c r="E5"/>
  <c r="B2" i="153"/>
  <c r="B2" i="154"/>
  <c r="B2" i="155" s="1"/>
  <c r="B2" i="156" s="1"/>
  <c r="E51"/>
  <c r="D51"/>
  <c r="C51"/>
  <c r="E45"/>
  <c r="E57" s="1"/>
  <c r="D45"/>
  <c r="D57" s="1"/>
  <c r="C45"/>
  <c r="C57" s="1"/>
  <c r="E37"/>
  <c r="D37"/>
  <c r="C37"/>
  <c r="E30"/>
  <c r="D30"/>
  <c r="C30"/>
  <c r="E26"/>
  <c r="D26"/>
  <c r="C26"/>
  <c r="E20"/>
  <c r="D20"/>
  <c r="C20"/>
  <c r="C36" s="1"/>
  <c r="C41" s="1"/>
  <c r="C58" s="1"/>
  <c r="E8"/>
  <c r="E36"/>
  <c r="E41" s="1"/>
  <c r="D8"/>
  <c r="D36" s="1"/>
  <c r="D41" s="1"/>
  <c r="D58" s="1"/>
  <c r="C8"/>
  <c r="E5"/>
  <c r="E51" i="155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E36" s="1"/>
  <c r="E41" s="1"/>
  <c r="D8"/>
  <c r="D36" s="1"/>
  <c r="D41" s="1"/>
  <c r="D58" s="1"/>
  <c r="C8"/>
  <c r="C36"/>
  <c r="C41" s="1"/>
  <c r="C58" s="1"/>
  <c r="E5"/>
  <c r="E51" i="154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E36" s="1"/>
  <c r="E41" s="1"/>
  <c r="D8"/>
  <c r="D36" s="1"/>
  <c r="D41" s="1"/>
  <c r="D58" s="1"/>
  <c r="C8"/>
  <c r="E5"/>
  <c r="E51" i="153"/>
  <c r="D51"/>
  <c r="C51"/>
  <c r="C57" s="1"/>
  <c r="E45"/>
  <c r="E57"/>
  <c r="D45"/>
  <c r="D57"/>
  <c r="C45"/>
  <c r="E37"/>
  <c r="D37"/>
  <c r="C37"/>
  <c r="E30"/>
  <c r="D30"/>
  <c r="C30"/>
  <c r="E26"/>
  <c r="D26"/>
  <c r="C26"/>
  <c r="E20"/>
  <c r="D20"/>
  <c r="C20"/>
  <c r="E8"/>
  <c r="E36" s="1"/>
  <c r="E41" s="1"/>
  <c r="D8"/>
  <c r="D36"/>
  <c r="D41" s="1"/>
  <c r="D58" s="1"/>
  <c r="C8"/>
  <c r="C36" s="1"/>
  <c r="C41" s="1"/>
  <c r="C58" s="1"/>
  <c r="E5"/>
  <c r="B2" i="150"/>
  <c r="B2" i="151" s="1"/>
  <c r="B2" i="152" s="1"/>
  <c r="E51"/>
  <c r="D51"/>
  <c r="C51"/>
  <c r="E45"/>
  <c r="E57" s="1"/>
  <c r="D45"/>
  <c r="D57" s="1"/>
  <c r="C45"/>
  <c r="C57" s="1"/>
  <c r="E37"/>
  <c r="D37"/>
  <c r="C37"/>
  <c r="E30"/>
  <c r="D30"/>
  <c r="C30"/>
  <c r="E26"/>
  <c r="D26"/>
  <c r="C26"/>
  <c r="E20"/>
  <c r="D20"/>
  <c r="C20"/>
  <c r="E8"/>
  <c r="E36"/>
  <c r="E41" s="1"/>
  <c r="D8"/>
  <c r="D36" s="1"/>
  <c r="D41" s="1"/>
  <c r="D58" s="1"/>
  <c r="C8"/>
  <c r="E5"/>
  <c r="E51" i="151"/>
  <c r="D51"/>
  <c r="C51"/>
  <c r="E45"/>
  <c r="E57"/>
  <c r="D45"/>
  <c r="C45"/>
  <c r="C57" s="1"/>
  <c r="C58" s="1"/>
  <c r="E37"/>
  <c r="D37"/>
  <c r="C37"/>
  <c r="E30"/>
  <c r="D30"/>
  <c r="C30"/>
  <c r="E26"/>
  <c r="D26"/>
  <c r="C26"/>
  <c r="E20"/>
  <c r="D20"/>
  <c r="C20"/>
  <c r="E8"/>
  <c r="E36" s="1"/>
  <c r="E41" s="1"/>
  <c r="D8"/>
  <c r="C8"/>
  <c r="E5"/>
  <c r="E51" i="150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E36"/>
  <c r="E41" s="1"/>
  <c r="D8"/>
  <c r="C8"/>
  <c r="E5"/>
  <c r="E51" i="149"/>
  <c r="D51"/>
  <c r="C51"/>
  <c r="E45"/>
  <c r="E57" s="1"/>
  <c r="D45"/>
  <c r="D57" s="1"/>
  <c r="C45"/>
  <c r="C57" s="1"/>
  <c r="C58" s="1"/>
  <c r="E37"/>
  <c r="D37"/>
  <c r="C37"/>
  <c r="E30"/>
  <c r="D30"/>
  <c r="C30"/>
  <c r="E26"/>
  <c r="D26"/>
  <c r="C26"/>
  <c r="E20"/>
  <c r="D20"/>
  <c r="D36" s="1"/>
  <c r="D41" s="1"/>
  <c r="D58" s="1"/>
  <c r="C20"/>
  <c r="E8"/>
  <c r="E36" s="1"/>
  <c r="E41" s="1"/>
  <c r="D8"/>
  <c r="C8"/>
  <c r="E5"/>
  <c r="B2" i="146"/>
  <c r="B2" i="147" s="1"/>
  <c r="B2" i="148" s="1"/>
  <c r="E51"/>
  <c r="D51"/>
  <c r="C51"/>
  <c r="E45"/>
  <c r="E57" s="1"/>
  <c r="D45"/>
  <c r="D57" s="1"/>
  <c r="C45"/>
  <c r="C57" s="1"/>
  <c r="E37"/>
  <c r="D37"/>
  <c r="C37"/>
  <c r="E30"/>
  <c r="D30"/>
  <c r="C30"/>
  <c r="E26"/>
  <c r="D26"/>
  <c r="C26"/>
  <c r="E20"/>
  <c r="D20"/>
  <c r="C20"/>
  <c r="E8"/>
  <c r="D8"/>
  <c r="D36" s="1"/>
  <c r="D41" s="1"/>
  <c r="C8"/>
  <c r="E5"/>
  <c r="E51" i="147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D8"/>
  <c r="D36" s="1"/>
  <c r="D41" s="1"/>
  <c r="D58" s="1"/>
  <c r="C8"/>
  <c r="E5"/>
  <c r="E51" i="146"/>
  <c r="D51"/>
  <c r="C51"/>
  <c r="E45"/>
  <c r="D45"/>
  <c r="D57" s="1"/>
  <c r="C45"/>
  <c r="C57" s="1"/>
  <c r="E37"/>
  <c r="D37"/>
  <c r="C37"/>
  <c r="E30"/>
  <c r="D30"/>
  <c r="C30"/>
  <c r="E26"/>
  <c r="D26"/>
  <c r="C26"/>
  <c r="E20"/>
  <c r="D20"/>
  <c r="C20"/>
  <c r="E8"/>
  <c r="E36"/>
  <c r="E41" s="1"/>
  <c r="D8"/>
  <c r="D36" s="1"/>
  <c r="D41" s="1"/>
  <c r="D58" s="1"/>
  <c r="C8"/>
  <c r="C36" s="1"/>
  <c r="C41" s="1"/>
  <c r="C58" s="1"/>
  <c r="E5"/>
  <c r="E51" i="145"/>
  <c r="D51"/>
  <c r="C51"/>
  <c r="E45"/>
  <c r="E57" s="1"/>
  <c r="D45"/>
  <c r="D57" s="1"/>
  <c r="C45"/>
  <c r="C57" s="1"/>
  <c r="E37"/>
  <c r="D37"/>
  <c r="C37"/>
  <c r="E30"/>
  <c r="D30"/>
  <c r="C30"/>
  <c r="E26"/>
  <c r="D26"/>
  <c r="C26"/>
  <c r="E20"/>
  <c r="D20"/>
  <c r="C20"/>
  <c r="E8"/>
  <c r="E36" s="1"/>
  <c r="E41" s="1"/>
  <c r="D8"/>
  <c r="D36" s="1"/>
  <c r="D41" s="1"/>
  <c r="D58" s="1"/>
  <c r="C8"/>
  <c r="C36" s="1"/>
  <c r="C41" s="1"/>
  <c r="E5"/>
  <c r="A29" i="132"/>
  <c r="B2" i="139"/>
  <c r="B2" i="140" s="1"/>
  <c r="B2" i="141" s="1"/>
  <c r="B2" i="135"/>
  <c r="B2" i="133"/>
  <c r="B2" i="134"/>
  <c r="E7" i="142"/>
  <c r="E7" i="143" s="1"/>
  <c r="E152" i="144"/>
  <c r="D152"/>
  <c r="C152"/>
  <c r="E147"/>
  <c r="D147"/>
  <c r="C147"/>
  <c r="E140"/>
  <c r="D140"/>
  <c r="C140"/>
  <c r="E136"/>
  <c r="E160" s="1"/>
  <c r="D136"/>
  <c r="D160" s="1"/>
  <c r="C136"/>
  <c r="E121"/>
  <c r="D121"/>
  <c r="C121"/>
  <c r="E100"/>
  <c r="E135" s="1"/>
  <c r="D100"/>
  <c r="D135"/>
  <c r="C100"/>
  <c r="C135" s="1"/>
  <c r="C161" s="1"/>
  <c r="E98"/>
  <c r="C97"/>
  <c r="E85"/>
  <c r="D85"/>
  <c r="C85"/>
  <c r="E81"/>
  <c r="D81"/>
  <c r="C81"/>
  <c r="E78"/>
  <c r="D78"/>
  <c r="C78"/>
  <c r="E73"/>
  <c r="D73"/>
  <c r="C73"/>
  <c r="E69"/>
  <c r="D69"/>
  <c r="D92"/>
  <c r="C69"/>
  <c r="E63"/>
  <c r="D63"/>
  <c r="C63"/>
  <c r="E58"/>
  <c r="D58"/>
  <c r="C58"/>
  <c r="E52"/>
  <c r="D52"/>
  <c r="C52"/>
  <c r="E40"/>
  <c r="D40"/>
  <c r="C40"/>
  <c r="E32"/>
  <c r="D32"/>
  <c r="C32"/>
  <c r="E25"/>
  <c r="E68" s="1"/>
  <c r="D25"/>
  <c r="C25"/>
  <c r="E18"/>
  <c r="D18"/>
  <c r="C18"/>
  <c r="E11"/>
  <c r="D11"/>
  <c r="C11"/>
  <c r="C68" s="1"/>
  <c r="E9"/>
  <c r="C8"/>
  <c r="A2"/>
  <c r="E152" i="143"/>
  <c r="D152"/>
  <c r="C152"/>
  <c r="E147"/>
  <c r="D147"/>
  <c r="C147"/>
  <c r="E140"/>
  <c r="D140"/>
  <c r="C140"/>
  <c r="E136"/>
  <c r="E160" s="1"/>
  <c r="D136"/>
  <c r="D160" s="1"/>
  <c r="D161" s="1"/>
  <c r="C136"/>
  <c r="E121"/>
  <c r="D121"/>
  <c r="C121"/>
  <c r="E100"/>
  <c r="E135" s="1"/>
  <c r="D100"/>
  <c r="D135"/>
  <c r="C100"/>
  <c r="C135" s="1"/>
  <c r="C161" s="1"/>
  <c r="E98"/>
  <c r="C97"/>
  <c r="E85"/>
  <c r="D85"/>
  <c r="C85"/>
  <c r="E81"/>
  <c r="D81"/>
  <c r="C81"/>
  <c r="E78"/>
  <c r="E92" s="1"/>
  <c r="E166" s="1"/>
  <c r="D78"/>
  <c r="C78"/>
  <c r="E73"/>
  <c r="D73"/>
  <c r="C73"/>
  <c r="E69"/>
  <c r="D69"/>
  <c r="D92" s="1"/>
  <c r="C69"/>
  <c r="E63"/>
  <c r="D63"/>
  <c r="C63"/>
  <c r="E58"/>
  <c r="D58"/>
  <c r="C58"/>
  <c r="E52"/>
  <c r="D52"/>
  <c r="C52"/>
  <c r="E40"/>
  <c r="D40"/>
  <c r="C40"/>
  <c r="E32"/>
  <c r="D32"/>
  <c r="C32"/>
  <c r="E25"/>
  <c r="D25"/>
  <c r="C25"/>
  <c r="E18"/>
  <c r="D18"/>
  <c r="C18"/>
  <c r="E11"/>
  <c r="E68" s="1"/>
  <c r="D11"/>
  <c r="D68" s="1"/>
  <c r="C11"/>
  <c r="C68" s="1"/>
  <c r="E9"/>
  <c r="C8"/>
  <c r="A2"/>
  <c r="E152" i="142"/>
  <c r="D152"/>
  <c r="C152"/>
  <c r="E147"/>
  <c r="D147"/>
  <c r="C147"/>
  <c r="E140"/>
  <c r="D140"/>
  <c r="C140"/>
  <c r="E136"/>
  <c r="E160" s="1"/>
  <c r="E161" s="1"/>
  <c r="D136"/>
  <c r="D160" s="1"/>
  <c r="D166" s="1"/>
  <c r="C136"/>
  <c r="C160" s="1"/>
  <c r="C161" s="1"/>
  <c r="E121"/>
  <c r="D121"/>
  <c r="C121"/>
  <c r="E100"/>
  <c r="D100"/>
  <c r="D135" s="1"/>
  <c r="C100"/>
  <c r="E98"/>
  <c r="C97"/>
  <c r="E85"/>
  <c r="D85"/>
  <c r="C85"/>
  <c r="E81"/>
  <c r="D81"/>
  <c r="C81"/>
  <c r="E78"/>
  <c r="D78"/>
  <c r="C78"/>
  <c r="E73"/>
  <c r="D73"/>
  <c r="D92"/>
  <c r="C73"/>
  <c r="E69"/>
  <c r="E92" s="1"/>
  <c r="D69"/>
  <c r="C69"/>
  <c r="C92" s="1"/>
  <c r="C166" s="1"/>
  <c r="E63"/>
  <c r="D63"/>
  <c r="C63"/>
  <c r="E58"/>
  <c r="D58"/>
  <c r="C58"/>
  <c r="E52"/>
  <c r="D52"/>
  <c r="C52"/>
  <c r="E40"/>
  <c r="D40"/>
  <c r="C40"/>
  <c r="E32"/>
  <c r="D32"/>
  <c r="C32"/>
  <c r="E25"/>
  <c r="D25"/>
  <c r="C25"/>
  <c r="E18"/>
  <c r="D18"/>
  <c r="C18"/>
  <c r="E11"/>
  <c r="D11"/>
  <c r="C11"/>
  <c r="E9"/>
  <c r="C8"/>
  <c r="A2"/>
  <c r="A2" i="1"/>
  <c r="E5" i="3"/>
  <c r="E9" i="1"/>
  <c r="E98"/>
  <c r="C24" i="61"/>
  <c r="C24" i="73"/>
  <c r="E96" i="1"/>
  <c r="E164" s="1"/>
  <c r="E29" i="135"/>
  <c r="D29"/>
  <c r="C29"/>
  <c r="E29" i="134"/>
  <c r="D29"/>
  <c r="C29"/>
  <c r="E29" i="133"/>
  <c r="D29"/>
  <c r="C29"/>
  <c r="E29" i="3"/>
  <c r="D29"/>
  <c r="C29"/>
  <c r="M9" i="132"/>
  <c r="D9"/>
  <c r="J9" s="1"/>
  <c r="G5" i="63"/>
  <c r="F5"/>
  <c r="E5"/>
  <c r="D5"/>
  <c r="D5" i="64" s="1"/>
  <c r="E51" i="141"/>
  <c r="D51"/>
  <c r="C51"/>
  <c r="E45"/>
  <c r="E57" s="1"/>
  <c r="D45"/>
  <c r="D57"/>
  <c r="C45"/>
  <c r="C57" s="1"/>
  <c r="E37"/>
  <c r="D37"/>
  <c r="C37"/>
  <c r="E30"/>
  <c r="D30"/>
  <c r="C30"/>
  <c r="E26"/>
  <c r="E36" s="1"/>
  <c r="E41" s="1"/>
  <c r="D26"/>
  <c r="C26"/>
  <c r="E20"/>
  <c r="D20"/>
  <c r="D36" s="1"/>
  <c r="D41" s="1"/>
  <c r="D58" s="1"/>
  <c r="C20"/>
  <c r="E8"/>
  <c r="D8"/>
  <c r="C8"/>
  <c r="E5"/>
  <c r="E51" i="140"/>
  <c r="D51"/>
  <c r="C51"/>
  <c r="E45"/>
  <c r="E57" s="1"/>
  <c r="D45"/>
  <c r="D57" s="1"/>
  <c r="C45"/>
  <c r="C57" s="1"/>
  <c r="E37"/>
  <c r="D37"/>
  <c r="C37"/>
  <c r="E30"/>
  <c r="D30"/>
  <c r="D36" s="1"/>
  <c r="D41" s="1"/>
  <c r="C30"/>
  <c r="E26"/>
  <c r="D26"/>
  <c r="C26"/>
  <c r="E20"/>
  <c r="D20"/>
  <c r="C20"/>
  <c r="E8"/>
  <c r="D8"/>
  <c r="C8"/>
  <c r="E5"/>
  <c r="E51" i="139"/>
  <c r="D51"/>
  <c r="D57" s="1"/>
  <c r="C51"/>
  <c r="C57"/>
  <c r="E45"/>
  <c r="E57"/>
  <c r="D45"/>
  <c r="C45"/>
  <c r="E37"/>
  <c r="D37"/>
  <c r="C37"/>
  <c r="E30"/>
  <c r="D30"/>
  <c r="D36" s="1"/>
  <c r="D41" s="1"/>
  <c r="D58" s="1"/>
  <c r="C30"/>
  <c r="E26"/>
  <c r="D26"/>
  <c r="C26"/>
  <c r="E20"/>
  <c r="D20"/>
  <c r="C20"/>
  <c r="E8"/>
  <c r="D8"/>
  <c r="C8"/>
  <c r="C36" s="1"/>
  <c r="C41" s="1"/>
  <c r="C58" s="1"/>
  <c r="E5"/>
  <c r="D45" i="105"/>
  <c r="E45"/>
  <c r="D51"/>
  <c r="E51"/>
  <c r="D8"/>
  <c r="E8"/>
  <c r="D20"/>
  <c r="E20"/>
  <c r="D26"/>
  <c r="E26"/>
  <c r="D30"/>
  <c r="E30"/>
  <c r="D37"/>
  <c r="E37"/>
  <c r="E5"/>
  <c r="E52" i="138"/>
  <c r="D52"/>
  <c r="C52"/>
  <c r="E46"/>
  <c r="D46"/>
  <c r="D58"/>
  <c r="C46"/>
  <c r="E38"/>
  <c r="D38"/>
  <c r="C38"/>
  <c r="E31"/>
  <c r="D31"/>
  <c r="C31"/>
  <c r="E26"/>
  <c r="D26"/>
  <c r="C26"/>
  <c r="E20"/>
  <c r="D20"/>
  <c r="C20"/>
  <c r="E8"/>
  <c r="E37" s="1"/>
  <c r="E42" s="1"/>
  <c r="D8"/>
  <c r="C8"/>
  <c r="C37" s="1"/>
  <c r="C42" s="1"/>
  <c r="C59" s="1"/>
  <c r="E5"/>
  <c r="E52" i="137"/>
  <c r="D52"/>
  <c r="C52"/>
  <c r="E46"/>
  <c r="E58"/>
  <c r="D46"/>
  <c r="D58"/>
  <c r="C46"/>
  <c r="C58"/>
  <c r="E38"/>
  <c r="D38"/>
  <c r="C38"/>
  <c r="E31"/>
  <c r="D31"/>
  <c r="C31"/>
  <c r="E26"/>
  <c r="D26"/>
  <c r="C26"/>
  <c r="E20"/>
  <c r="D20"/>
  <c r="C20"/>
  <c r="E8"/>
  <c r="E37" s="1"/>
  <c r="E42" s="1"/>
  <c r="D8"/>
  <c r="D37"/>
  <c r="D42" s="1"/>
  <c r="D59" s="1"/>
  <c r="C8"/>
  <c r="C37" s="1"/>
  <c r="C42" s="1"/>
  <c r="C59" s="1"/>
  <c r="E5"/>
  <c r="E52" i="136"/>
  <c r="D52"/>
  <c r="C52"/>
  <c r="C58"/>
  <c r="E46"/>
  <c r="E58"/>
  <c r="D46"/>
  <c r="D58"/>
  <c r="C46"/>
  <c r="E38"/>
  <c r="D38"/>
  <c r="C38"/>
  <c r="E31"/>
  <c r="D31"/>
  <c r="C31"/>
  <c r="E26"/>
  <c r="D26"/>
  <c r="C26"/>
  <c r="E20"/>
  <c r="D20"/>
  <c r="C20"/>
  <c r="E8"/>
  <c r="D8"/>
  <c r="D37"/>
  <c r="D42" s="1"/>
  <c r="D59" s="1"/>
  <c r="C8"/>
  <c r="C37" s="1"/>
  <c r="C42" s="1"/>
  <c r="C59" s="1"/>
  <c r="E5"/>
  <c r="D46" i="79"/>
  <c r="E46"/>
  <c r="E58"/>
  <c r="D52"/>
  <c r="D58"/>
  <c r="E52"/>
  <c r="D8"/>
  <c r="E8"/>
  <c r="D20"/>
  <c r="E20"/>
  <c r="E37" s="1"/>
  <c r="E42" s="1"/>
  <c r="D26"/>
  <c r="E26"/>
  <c r="D31"/>
  <c r="E31"/>
  <c r="D38"/>
  <c r="E38"/>
  <c r="E5"/>
  <c r="E146" i="135"/>
  <c r="D146"/>
  <c r="C146"/>
  <c r="E140"/>
  <c r="D140"/>
  <c r="C140"/>
  <c r="E133"/>
  <c r="D133"/>
  <c r="C133"/>
  <c r="E129"/>
  <c r="E154" s="1"/>
  <c r="D129"/>
  <c r="C129"/>
  <c r="C154" s="1"/>
  <c r="E114"/>
  <c r="D114"/>
  <c r="C114"/>
  <c r="E93"/>
  <c r="E128"/>
  <c r="D93"/>
  <c r="D128" s="1"/>
  <c r="D155" s="1"/>
  <c r="C93"/>
  <c r="C128"/>
  <c r="E82"/>
  <c r="D82"/>
  <c r="C82"/>
  <c r="E78"/>
  <c r="D78"/>
  <c r="C78"/>
  <c r="E75"/>
  <c r="D75"/>
  <c r="C75"/>
  <c r="E70"/>
  <c r="D70"/>
  <c r="C70"/>
  <c r="C89"/>
  <c r="E66"/>
  <c r="E89" s="1"/>
  <c r="D66"/>
  <c r="D89" s="1"/>
  <c r="C66"/>
  <c r="E60"/>
  <c r="D60"/>
  <c r="C60"/>
  <c r="E55"/>
  <c r="D55"/>
  <c r="C55"/>
  <c r="E49"/>
  <c r="D49"/>
  <c r="C49"/>
  <c r="E37"/>
  <c r="D37"/>
  <c r="C37"/>
  <c r="E22"/>
  <c r="D22"/>
  <c r="C22"/>
  <c r="E15"/>
  <c r="D15"/>
  <c r="C15"/>
  <c r="E8"/>
  <c r="E65" s="1"/>
  <c r="D8"/>
  <c r="D65" s="1"/>
  <c r="D90" s="1"/>
  <c r="D156" s="1"/>
  <c r="C8"/>
  <c r="C65" s="1"/>
  <c r="C90" s="1"/>
  <c r="E5"/>
  <c r="E146" i="134"/>
  <c r="D146"/>
  <c r="C146"/>
  <c r="E140"/>
  <c r="D140"/>
  <c r="C140"/>
  <c r="E133"/>
  <c r="D133"/>
  <c r="C133"/>
  <c r="E129"/>
  <c r="E154" s="1"/>
  <c r="D129"/>
  <c r="D154" s="1"/>
  <c r="C129"/>
  <c r="C154"/>
  <c r="E114"/>
  <c r="D114"/>
  <c r="C114"/>
  <c r="E93"/>
  <c r="E128" s="1"/>
  <c r="D93"/>
  <c r="D128"/>
  <c r="D155" s="1"/>
  <c r="C93"/>
  <c r="C128" s="1"/>
  <c r="C155" s="1"/>
  <c r="E82"/>
  <c r="D82"/>
  <c r="C82"/>
  <c r="E78"/>
  <c r="D78"/>
  <c r="C78"/>
  <c r="E75"/>
  <c r="D75"/>
  <c r="C75"/>
  <c r="E70"/>
  <c r="D70"/>
  <c r="C70"/>
  <c r="E66"/>
  <c r="D66"/>
  <c r="D89" s="1"/>
  <c r="D90" s="1"/>
  <c r="D156" s="1"/>
  <c r="C66"/>
  <c r="E60"/>
  <c r="D60"/>
  <c r="C60"/>
  <c r="E55"/>
  <c r="D55"/>
  <c r="C55"/>
  <c r="E49"/>
  <c r="D49"/>
  <c r="C49"/>
  <c r="E37"/>
  <c r="D37"/>
  <c r="C37"/>
  <c r="E22"/>
  <c r="D22"/>
  <c r="C22"/>
  <c r="E15"/>
  <c r="D15"/>
  <c r="C15"/>
  <c r="E8"/>
  <c r="D8"/>
  <c r="C8"/>
  <c r="E5"/>
  <c r="E146" i="133"/>
  <c r="D146"/>
  <c r="C146"/>
  <c r="E140"/>
  <c r="D140"/>
  <c r="C140"/>
  <c r="E133"/>
  <c r="D133"/>
  <c r="C133"/>
  <c r="E129"/>
  <c r="E154" s="1"/>
  <c r="D129"/>
  <c r="C129"/>
  <c r="C154" s="1"/>
  <c r="E114"/>
  <c r="D114"/>
  <c r="C114"/>
  <c r="E93"/>
  <c r="E128" s="1"/>
  <c r="E155" s="1"/>
  <c r="D93"/>
  <c r="C93"/>
  <c r="E82"/>
  <c r="D82"/>
  <c r="C82"/>
  <c r="E78"/>
  <c r="D78"/>
  <c r="C78"/>
  <c r="E75"/>
  <c r="D75"/>
  <c r="C75"/>
  <c r="E70"/>
  <c r="D70"/>
  <c r="C70"/>
  <c r="E66"/>
  <c r="D66"/>
  <c r="C66"/>
  <c r="E60"/>
  <c r="D60"/>
  <c r="C60"/>
  <c r="E55"/>
  <c r="D55"/>
  <c r="C55"/>
  <c r="E49"/>
  <c r="D49"/>
  <c r="C49"/>
  <c r="E37"/>
  <c r="D37"/>
  <c r="C37"/>
  <c r="E22"/>
  <c r="D22"/>
  <c r="C22"/>
  <c r="E15"/>
  <c r="D15"/>
  <c r="C15"/>
  <c r="E8"/>
  <c r="D8"/>
  <c r="C8"/>
  <c r="E5"/>
  <c r="D93" i="3"/>
  <c r="E93"/>
  <c r="D114"/>
  <c r="E114"/>
  <c r="D129"/>
  <c r="E129"/>
  <c r="D133"/>
  <c r="E133"/>
  <c r="D140"/>
  <c r="D154" s="1"/>
  <c r="D155" s="1"/>
  <c r="E140"/>
  <c r="D146"/>
  <c r="E146"/>
  <c r="D8"/>
  <c r="E8"/>
  <c r="D15"/>
  <c r="E15"/>
  <c r="D22"/>
  <c r="E22"/>
  <c r="D37"/>
  <c r="E37"/>
  <c r="D49"/>
  <c r="E49"/>
  <c r="D55"/>
  <c r="E55"/>
  <c r="D60"/>
  <c r="E60"/>
  <c r="D66"/>
  <c r="E66"/>
  <c r="D70"/>
  <c r="E70"/>
  <c r="D75"/>
  <c r="E75"/>
  <c r="D78"/>
  <c r="E78"/>
  <c r="D82"/>
  <c r="E82"/>
  <c r="F9" i="132"/>
  <c r="K9" s="1"/>
  <c r="H9"/>
  <c r="M34"/>
  <c r="L34"/>
  <c r="K34"/>
  <c r="K26"/>
  <c r="J26"/>
  <c r="I26"/>
  <c r="H26"/>
  <c r="G26"/>
  <c r="F26"/>
  <c r="E26"/>
  <c r="D26"/>
  <c r="C26"/>
  <c r="M26" s="1"/>
  <c r="B26"/>
  <c r="M25"/>
  <c r="L25"/>
  <c r="M24"/>
  <c r="L24"/>
  <c r="M23"/>
  <c r="L23"/>
  <c r="M22"/>
  <c r="L22"/>
  <c r="M21"/>
  <c r="L21"/>
  <c r="L26"/>
  <c r="K18"/>
  <c r="J18"/>
  <c r="I18"/>
  <c r="H18"/>
  <c r="G18"/>
  <c r="F18"/>
  <c r="E18"/>
  <c r="D18"/>
  <c r="C18"/>
  <c r="B18"/>
  <c r="M17"/>
  <c r="L17"/>
  <c r="M16"/>
  <c r="L16"/>
  <c r="M15"/>
  <c r="L15"/>
  <c r="M14"/>
  <c r="L14"/>
  <c r="M13"/>
  <c r="L13"/>
  <c r="M12"/>
  <c r="L12"/>
  <c r="L11"/>
  <c r="M11"/>
  <c r="G5" i="64"/>
  <c r="F5"/>
  <c r="E5"/>
  <c r="A4" i="76"/>
  <c r="A37" i="75"/>
  <c r="A34" i="76" s="1"/>
  <c r="A19" i="75"/>
  <c r="A16" i="76" s="1"/>
  <c r="A31" i="75"/>
  <c r="A28" i="76" s="1"/>
  <c r="A25" i="75"/>
  <c r="A22" i="76" s="1"/>
  <c r="A13" i="75"/>
  <c r="A10" i="76" s="1"/>
  <c r="H17" i="61"/>
  <c r="I17"/>
  <c r="H30"/>
  <c r="I30"/>
  <c r="D17"/>
  <c r="E17"/>
  <c r="D18"/>
  <c r="D30" s="1"/>
  <c r="E18"/>
  <c r="E30" s="1"/>
  <c r="D24"/>
  <c r="E24"/>
  <c r="H18" i="73"/>
  <c r="I18"/>
  <c r="H29"/>
  <c r="D31" i="76" s="1"/>
  <c r="I29" i="73"/>
  <c r="D19"/>
  <c r="D29"/>
  <c r="E19"/>
  <c r="E29" s="1"/>
  <c r="E30" s="1"/>
  <c r="D24"/>
  <c r="E24"/>
  <c r="D100" i="1"/>
  <c r="E100"/>
  <c r="D121"/>
  <c r="E121"/>
  <c r="D136"/>
  <c r="E136"/>
  <c r="E160" s="1"/>
  <c r="D140"/>
  <c r="E140"/>
  <c r="D147"/>
  <c r="D160"/>
  <c r="E147"/>
  <c r="D152"/>
  <c r="E152"/>
  <c r="C97"/>
  <c r="D11"/>
  <c r="E11"/>
  <c r="D18"/>
  <c r="E18"/>
  <c r="D25"/>
  <c r="E25"/>
  <c r="D32"/>
  <c r="E32"/>
  <c r="D40"/>
  <c r="E40"/>
  <c r="D52"/>
  <c r="E52"/>
  <c r="D58"/>
  <c r="E58"/>
  <c r="D63"/>
  <c r="E63"/>
  <c r="D69"/>
  <c r="E69"/>
  <c r="D73"/>
  <c r="E73"/>
  <c r="D78"/>
  <c r="E78"/>
  <c r="D81"/>
  <c r="E81"/>
  <c r="D85"/>
  <c r="E85"/>
  <c r="C8"/>
  <c r="E4" i="73" s="1"/>
  <c r="I4" s="1"/>
  <c r="C140" i="3"/>
  <c r="C51" i="105"/>
  <c r="C45"/>
  <c r="C26" i="79"/>
  <c r="C146" i="3"/>
  <c r="C133"/>
  <c r="C93"/>
  <c r="G29" i="73"/>
  <c r="D25" i="76" s="1"/>
  <c r="C152" i="1"/>
  <c r="C140"/>
  <c r="C100"/>
  <c r="C32"/>
  <c r="C37" i="105"/>
  <c r="C30"/>
  <c r="C26"/>
  <c r="C20"/>
  <c r="C36" s="1"/>
  <c r="C41" s="1"/>
  <c r="C58" s="1"/>
  <c r="C8"/>
  <c r="C52" i="79"/>
  <c r="C38"/>
  <c r="C31"/>
  <c r="C20"/>
  <c r="C129" i="3"/>
  <c r="C114"/>
  <c r="C82"/>
  <c r="C78"/>
  <c r="C75"/>
  <c r="C70"/>
  <c r="C66"/>
  <c r="C60"/>
  <c r="C55"/>
  <c r="C49"/>
  <c r="C37"/>
  <c r="C22"/>
  <c r="C15"/>
  <c r="C8"/>
  <c r="G17" i="61"/>
  <c r="C17"/>
  <c r="C32" s="1"/>
  <c r="C147" i="1"/>
  <c r="C136"/>
  <c r="C160" s="1"/>
  <c r="C121"/>
  <c r="C85"/>
  <c r="C81"/>
  <c r="C78"/>
  <c r="C73"/>
  <c r="C69"/>
  <c r="C63"/>
  <c r="C58"/>
  <c r="C52"/>
  <c r="C40"/>
  <c r="C25"/>
  <c r="C18"/>
  <c r="C11"/>
  <c r="G30" i="61"/>
  <c r="C18"/>
  <c r="C30" s="1"/>
  <c r="D7" i="76" s="1"/>
  <c r="G18" i="73"/>
  <c r="C19"/>
  <c r="C29"/>
  <c r="C46" i="79"/>
  <c r="C58"/>
  <c r="C8"/>
  <c r="C37"/>
  <c r="C42" s="1"/>
  <c r="C59" s="1"/>
  <c r="E16" i="89"/>
  <c r="F16"/>
  <c r="D16"/>
  <c r="C16"/>
  <c r="G16"/>
  <c r="G15"/>
  <c r="G14"/>
  <c r="G13"/>
  <c r="G12"/>
  <c r="G11"/>
  <c r="G10"/>
  <c r="G7" i="64"/>
  <c r="G8"/>
  <c r="G9"/>
  <c r="G10"/>
  <c r="G11"/>
  <c r="G12"/>
  <c r="G13"/>
  <c r="G14"/>
  <c r="G15"/>
  <c r="G16"/>
  <c r="G17"/>
  <c r="G18"/>
  <c r="G19"/>
  <c r="G26" s="1"/>
  <c r="G20"/>
  <c r="G21"/>
  <c r="G22"/>
  <c r="G23"/>
  <c r="G24"/>
  <c r="G25"/>
  <c r="B26"/>
  <c r="D26"/>
  <c r="F26"/>
  <c r="G7" i="63"/>
  <c r="G8"/>
  <c r="G9"/>
  <c r="G10"/>
  <c r="G11"/>
  <c r="G12"/>
  <c r="G13"/>
  <c r="G14"/>
  <c r="G15"/>
  <c r="G16"/>
  <c r="G25" s="1"/>
  <c r="G17"/>
  <c r="G18"/>
  <c r="G19"/>
  <c r="G20"/>
  <c r="G21"/>
  <c r="G22"/>
  <c r="G23"/>
  <c r="G24"/>
  <c r="B25"/>
  <c r="D25"/>
  <c r="F25"/>
  <c r="C4" i="73"/>
  <c r="G4" s="1"/>
  <c r="I30"/>
  <c r="C4" i="61"/>
  <c r="G4" s="1"/>
  <c r="M18" i="132"/>
  <c r="D37" i="79"/>
  <c r="D42"/>
  <c r="D59" s="1"/>
  <c r="D4" i="61"/>
  <c r="H4" s="1"/>
  <c r="E4"/>
  <c r="I4" s="1"/>
  <c r="E96" i="142"/>
  <c r="E164" s="1"/>
  <c r="C36" i="150"/>
  <c r="C41" s="1"/>
  <c r="C58" s="1"/>
  <c r="C36" i="152"/>
  <c r="C41" s="1"/>
  <c r="C58" s="1"/>
  <c r="D36" i="173"/>
  <c r="D41"/>
  <c r="D58" s="1"/>
  <c r="E36"/>
  <c r="E41" s="1"/>
  <c r="D36" i="174"/>
  <c r="D41" s="1"/>
  <c r="D58" s="1"/>
  <c r="E36"/>
  <c r="E41"/>
  <c r="D36" i="176"/>
  <c r="D41"/>
  <c r="D58" s="1"/>
  <c r="E36" i="157"/>
  <c r="E41" s="1"/>
  <c r="E36" i="159"/>
  <c r="E41" s="1"/>
  <c r="E41" i="160"/>
  <c r="E36" i="162"/>
  <c r="E41"/>
  <c r="E36" i="163"/>
  <c r="E41"/>
  <c r="E36" i="164"/>
  <c r="E41"/>
  <c r="E36" i="169"/>
  <c r="E41"/>
  <c r="E36" i="171"/>
  <c r="E41" s="1"/>
  <c r="E41" i="172"/>
  <c r="E36" i="177"/>
  <c r="E41"/>
  <c r="E41" i="178"/>
  <c r="E36" i="179"/>
  <c r="E41" s="1"/>
  <c r="E36" i="181"/>
  <c r="E41" s="1"/>
  <c r="E36" i="184"/>
  <c r="E41" s="1"/>
  <c r="H30" i="73"/>
  <c r="D30" i="76"/>
  <c r="H31" i="73"/>
  <c r="I32" i="61"/>
  <c r="E32"/>
  <c r="C36" i="151"/>
  <c r="C41"/>
  <c r="G30" i="73"/>
  <c r="D24" i="76"/>
  <c r="D31" i="73"/>
  <c r="G31"/>
  <c r="C31"/>
  <c r="D68" i="144"/>
  <c r="I31" i="73"/>
  <c r="D37" i="76"/>
  <c r="G32" i="61"/>
  <c r="E36" i="105"/>
  <c r="E41" s="1"/>
  <c r="E36" i="139"/>
  <c r="E41" s="1"/>
  <c r="D36" i="150"/>
  <c r="D41" s="1"/>
  <c r="D58" s="1"/>
  <c r="C36" i="176"/>
  <c r="C41" s="1"/>
  <c r="C58" s="1"/>
  <c r="C36" i="177"/>
  <c r="C41"/>
  <c r="C58" s="1"/>
  <c r="C160" i="143"/>
  <c r="C160" i="144"/>
  <c r="E36" i="148"/>
  <c r="E41" s="1"/>
  <c r="C36" i="158"/>
  <c r="C41" s="1"/>
  <c r="C58" s="1"/>
  <c r="C36" i="163"/>
  <c r="C41"/>
  <c r="C58" s="1"/>
  <c r="C41" i="170"/>
  <c r="C58" s="1"/>
  <c r="C36" i="173"/>
  <c r="C41" s="1"/>
  <c r="C58" s="1"/>
  <c r="E36" i="176"/>
  <c r="E41" s="1"/>
  <c r="C36" i="184"/>
  <c r="C41" s="1"/>
  <c r="C58" s="1"/>
  <c r="D32" i="61"/>
  <c r="H32"/>
  <c r="D12" i="76"/>
  <c r="D36" i="105"/>
  <c r="D41" s="1"/>
  <c r="D58" s="1"/>
  <c r="C154" i="3"/>
  <c r="D154" i="133"/>
  <c r="C36" i="154"/>
  <c r="C41" s="1"/>
  <c r="C58" s="1"/>
  <c r="E154" i="3"/>
  <c r="C89" i="133"/>
  <c r="D154" i="135"/>
  <c r="C36" i="141"/>
  <c r="C41" s="1"/>
  <c r="C58" s="1"/>
  <c r="C92" i="143"/>
  <c r="C166"/>
  <c r="C36" i="149"/>
  <c r="C41"/>
  <c r="E31" i="73"/>
  <c r="G31" i="61"/>
  <c r="D26" i="76" s="1"/>
  <c r="L18" i="132"/>
  <c r="D89" i="3"/>
  <c r="E36" i="140"/>
  <c r="E41" s="1"/>
  <c r="E36" i="147"/>
  <c r="E41" s="1"/>
  <c r="D36" i="151"/>
  <c r="D41"/>
  <c r="D6" i="76"/>
  <c r="I31" i="61"/>
  <c r="D36" i="76"/>
  <c r="E89" i="133"/>
  <c r="D37" i="138"/>
  <c r="D42"/>
  <c r="C36" i="140"/>
  <c r="C41"/>
  <c r="C58" s="1"/>
  <c r="C92" i="144"/>
  <c r="C166" s="1"/>
  <c r="E92"/>
  <c r="E166" s="1"/>
  <c r="C36" i="147"/>
  <c r="C41" s="1"/>
  <c r="C58" s="1"/>
  <c r="C36" i="148"/>
  <c r="C41"/>
  <c r="C58" s="1"/>
  <c r="C36" i="160"/>
  <c r="C41" s="1"/>
  <c r="C58" s="1"/>
  <c r="C36" i="169"/>
  <c r="C41"/>
  <c r="C58" s="1"/>
  <c r="E57" i="180"/>
  <c r="D36" i="183"/>
  <c r="D41"/>
  <c r="D58" s="1"/>
  <c r="D36" i="162"/>
  <c r="D41" s="1"/>
  <c r="D58" s="1"/>
  <c r="D36" i="170"/>
  <c r="D41" s="1"/>
  <c r="D58" s="1"/>
  <c r="E36" i="175"/>
  <c r="E41"/>
  <c r="E36" i="182"/>
  <c r="E41"/>
  <c r="E57" i="105"/>
  <c r="D57"/>
  <c r="C57"/>
  <c r="E57" i="146"/>
  <c r="D57" i="151"/>
  <c r="D58"/>
  <c r="C89" i="134"/>
  <c r="D65"/>
  <c r="C128" i="133"/>
  <c r="C155" s="1"/>
  <c r="D128"/>
  <c r="D155" s="1"/>
  <c r="D89"/>
  <c r="E65"/>
  <c r="E90"/>
  <c r="D65"/>
  <c r="D90"/>
  <c r="C65"/>
  <c r="C90" s="1"/>
  <c r="C156" s="1"/>
  <c r="E128" i="3"/>
  <c r="E155"/>
  <c r="D128"/>
  <c r="C128"/>
  <c r="C155"/>
  <c r="E89"/>
  <c r="C89"/>
  <c r="E65"/>
  <c r="D65"/>
  <c r="D90" s="1"/>
  <c r="D156" s="1"/>
  <c r="C65"/>
  <c r="C90" s="1"/>
  <c r="C156" s="1"/>
  <c r="E90"/>
  <c r="E37" i="136"/>
  <c r="E42"/>
  <c r="E58" i="138"/>
  <c r="C58"/>
  <c r="D59"/>
  <c r="E89" i="134"/>
  <c r="C65"/>
  <c r="C90"/>
  <c r="C156" s="1"/>
  <c r="E65"/>
  <c r="E90" s="1"/>
  <c r="D165" i="144"/>
  <c r="D93"/>
  <c r="C135" i="1"/>
  <c r="C161" s="1"/>
  <c r="B26" i="76" s="1"/>
  <c r="C92" i="1"/>
  <c r="C68"/>
  <c r="C165"/>
  <c r="B7" i="76"/>
  <c r="B6"/>
  <c r="E6" s="1"/>
  <c r="C93" i="1"/>
  <c r="C162" s="1"/>
  <c r="B8" i="76"/>
  <c r="C68" i="142"/>
  <c r="E68"/>
  <c r="D68"/>
  <c r="D165" s="1"/>
  <c r="E92" i="1"/>
  <c r="D92"/>
  <c r="B19" i="76"/>
  <c r="E68" i="1"/>
  <c r="E165" s="1"/>
  <c r="B13" i="76"/>
  <c r="C135" i="142"/>
  <c r="D166" i="1"/>
  <c r="B31" i="76"/>
  <c r="E135" i="1"/>
  <c r="D135"/>
  <c r="D161"/>
  <c r="B30" i="76"/>
  <c r="E30" s="1"/>
  <c r="B32"/>
  <c r="H31" i="61"/>
  <c r="D32" i="76"/>
  <c r="E32" s="1"/>
  <c r="D18"/>
  <c r="D38"/>
  <c r="E135" i="142"/>
  <c r="E165"/>
  <c r="D93"/>
  <c r="D68" i="1"/>
  <c r="D93" s="1"/>
  <c r="E93"/>
  <c r="B20" i="76" s="1"/>
  <c r="B12"/>
  <c r="E12" s="1"/>
  <c r="B18"/>
  <c r="E18" s="1"/>
  <c r="C30" i="73"/>
  <c r="G32" s="1"/>
  <c r="D30"/>
  <c r="C32"/>
  <c r="H32"/>
  <c r="D32"/>
  <c r="C28" i="185"/>
  <c r="C30"/>
  <c r="C19"/>
  <c r="C8"/>
  <c r="C26"/>
  <c r="C13"/>
  <c r="C12"/>
  <c r="C20"/>
  <c r="C24"/>
  <c r="C11"/>
  <c r="C15"/>
  <c r="C18"/>
  <c r="C21"/>
  <c r="C16"/>
  <c r="C31"/>
  <c r="C34"/>
  <c r="C22"/>
  <c r="C14"/>
  <c r="C29"/>
  <c r="C25"/>
  <c r="C32"/>
  <c r="C10"/>
  <c r="C27"/>
  <c r="C7"/>
  <c r="C17"/>
  <c r="C23"/>
  <c r="C33"/>
  <c r="C9"/>
  <c r="A3" i="144" l="1"/>
  <c r="B12" i="185" s="1"/>
  <c r="A6"/>
  <c r="E26" i="76"/>
  <c r="D31" i="61"/>
  <c r="H33" s="1"/>
  <c r="D13" i="76"/>
  <c r="E13" s="1"/>
  <c r="I32" i="73"/>
  <c r="E32"/>
  <c r="D19" i="76"/>
  <c r="E19" s="1"/>
  <c r="E7"/>
  <c r="E166" i="1"/>
  <c r="B37" i="76"/>
  <c r="E37" s="1"/>
  <c r="D33" i="61"/>
  <c r="D14" i="76"/>
  <c r="C93" i="143"/>
  <c r="C162" s="1"/>
  <c r="C165"/>
  <c r="E7" i="144"/>
  <c r="I2" i="73" s="1"/>
  <c r="I2" i="61" s="1"/>
  <c r="G4" i="63" s="1"/>
  <c r="G4" i="64" s="1"/>
  <c r="E4" i="3" s="1"/>
  <c r="E4" i="133" s="1"/>
  <c r="E4" i="134" s="1"/>
  <c r="E4" i="135" s="1"/>
  <c r="E4" i="79" s="1"/>
  <c r="E4" i="138" s="1"/>
  <c r="E4" i="137" s="1"/>
  <c r="E4" i="136" s="1"/>
  <c r="E96" i="143"/>
  <c r="E164" s="1"/>
  <c r="C155" i="135"/>
  <c r="C156"/>
  <c r="E155"/>
  <c r="D161" i="142"/>
  <c r="D162" s="1"/>
  <c r="E161" i="143"/>
  <c r="D166" i="144"/>
  <c r="E161"/>
  <c r="D58" i="178"/>
  <c r="C58" i="182"/>
  <c r="D58"/>
  <c r="B25" i="76"/>
  <c r="E25" s="1"/>
  <c r="C166" i="1"/>
  <c r="E93" i="142"/>
  <c r="E166"/>
  <c r="C165" i="144"/>
  <c r="C93"/>
  <c r="C162" s="1"/>
  <c r="E93"/>
  <c r="E165"/>
  <c r="D58" i="140"/>
  <c r="C58" i="145"/>
  <c r="D58" i="177"/>
  <c r="D165" i="143"/>
  <c r="D93"/>
  <c r="D162" s="1"/>
  <c r="B14" i="76"/>
  <c r="D162" i="1"/>
  <c r="E93" i="143"/>
  <c r="E165"/>
  <c r="D166"/>
  <c r="E161" i="1"/>
  <c r="B38" i="76" s="1"/>
  <c r="E38" s="1"/>
  <c r="C93" i="142"/>
  <c r="C162" s="1"/>
  <c r="D156" i="133"/>
  <c r="E31" i="61"/>
  <c r="E155" i="134"/>
  <c r="E90" i="135"/>
  <c r="D161" i="144"/>
  <c r="D162" s="1"/>
  <c r="D58" i="148"/>
  <c r="D58" i="157"/>
  <c r="D58" i="180"/>
  <c r="E31" i="76"/>
  <c r="B24"/>
  <c r="E24" s="1"/>
  <c r="A3" i="1"/>
  <c r="B9" i="185" s="1"/>
  <c r="D165" i="1"/>
  <c r="B36" i="76"/>
  <c r="E36" s="1"/>
  <c r="C165" i="142"/>
  <c r="C31" i="61"/>
  <c r="D4" i="73"/>
  <c r="H4" s="1"/>
  <c r="E96" i="144"/>
  <c r="E164" s="1"/>
  <c r="L5" i="132" l="1"/>
  <c r="L30" s="1"/>
  <c r="C33" i="61"/>
  <c r="G33"/>
  <c r="D8" i="76"/>
  <c r="E8" s="1"/>
  <c r="E14"/>
  <c r="E33" i="61"/>
  <c r="I33"/>
  <c r="D20" i="76"/>
  <c r="E20" s="1"/>
  <c r="E4" i="181"/>
  <c r="E4" i="182" s="1"/>
  <c r="E4" i="183" s="1"/>
  <c r="E4" i="184" s="1"/>
  <c r="E4" i="157"/>
  <c r="E4" i="158" s="1"/>
  <c r="E4" i="159" s="1"/>
  <c r="E4" i="160" s="1"/>
  <c r="E4" i="145"/>
  <c r="E4" i="146" s="1"/>
  <c r="E4" i="147" s="1"/>
  <c r="E4" i="148" s="1"/>
  <c r="E4" i="169"/>
  <c r="E4" i="170" s="1"/>
  <c r="E4" i="171" s="1"/>
  <c r="E4" i="172" s="1"/>
  <c r="E4" i="149"/>
  <c r="E4" i="150" s="1"/>
  <c r="E4" i="151" s="1"/>
  <c r="E4" i="152" s="1"/>
  <c r="E4" i="161"/>
  <c r="E4" i="162" s="1"/>
  <c r="E4" i="163" s="1"/>
  <c r="E4" i="164" s="1"/>
  <c r="E4" i="153"/>
  <c r="E4" i="154" s="1"/>
  <c r="E4" i="155" s="1"/>
  <c r="E4" i="156" s="1"/>
  <c r="E4" i="173"/>
  <c r="E4" i="174" s="1"/>
  <c r="E4" i="175" s="1"/>
  <c r="E4" i="176" s="1"/>
  <c r="E4" i="177"/>
  <c r="E4" i="178" s="1"/>
  <c r="E4" i="179" s="1"/>
  <c r="E4" i="180" s="1"/>
  <c r="E4" i="105"/>
  <c r="E4" i="139" s="1"/>
  <c r="E4" i="140" s="1"/>
  <c r="E4" i="141" s="1"/>
  <c r="G8" i="89" s="1"/>
</calcChain>
</file>

<file path=xl/sharedStrings.xml><?xml version="1.0" encoding="utf-8"?>
<sst xmlns="http://schemas.openxmlformats.org/spreadsheetml/2006/main" count="7865" uniqueCount="609">
  <si>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</si>
  <si>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</si>
  <si>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</si>
  <si>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</si>
  <si>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</si>
  <si>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</si>
  <si>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</si>
  <si>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</si>
  <si>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</si>
  <si>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</si>
  <si>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</si>
  <si>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</si>
  <si>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</si>
  <si>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</si>
  <si>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</si>
  <si>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</si>
  <si>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</si>
  <si>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</si>
  <si>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</si>
  <si>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</si>
  <si>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</si>
  <si>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</si>
  <si>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</si>
  <si>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</si>
  <si>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</si>
  <si>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</si>
  <si>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</si>
  <si>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</si>
  <si>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</si>
  <si>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</si>
  <si>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</si>
  <si>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</si>
  <si>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</si>
  <si>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</si>
  <si>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</si>
  <si>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</si>
  <si>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</si>
  <si>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</si>
  <si>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</si>
  <si>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</si>
  <si>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</si>
  <si>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</si>
  <si>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</si>
  <si>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</si>
  <si>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</si>
  <si>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</si>
  <si>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</si>
  <si>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</si>
  <si>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</si>
  <si>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</si>
  <si>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</si>
  <si>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</si>
  <si>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</si>
  <si>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</si>
  <si>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</si>
  <si>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</si>
  <si>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</si>
  <si>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</si>
  <si>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</si>
  <si>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</si>
  <si>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</si>
  <si>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</si>
  <si>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</si>
  <si>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</si>
  <si>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</si>
  <si>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</si>
  <si>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</si>
  <si>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</si>
  <si>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</si>
  <si>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</si>
  <si>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</si>
  <si>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</si>
  <si>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</si>
  <si>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</si>
  <si>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</si>
  <si>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</si>
  <si>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</si>
  <si>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</si>
  <si>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</si>
  <si>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</si>
  <si>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</si>
  <si>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</si>
  <si>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</si>
  <si>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</si>
  <si>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</si>
  <si>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</si>
  <si>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</si>
  <si>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</si>
  <si>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</si>
  <si>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</si>
  <si>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</si>
  <si>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</si>
  <si>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</si>
  <si>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</si>
  <si>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</si>
  <si>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</si>
  <si>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</si>
  <si>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</si>
  <si>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</si>
  <si>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</si>
  <si>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</si>
  <si>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</si>
  <si>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</si>
  <si>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</si>
  <si>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</si>
  <si>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</si>
  <si>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</si>
  <si>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</si>
  <si>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</si>
  <si>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</si>
  <si>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</si>
  <si>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</si>
  <si>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</si>
  <si>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</si>
  <si>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</si>
  <si>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</si>
  <si>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</si>
  <si>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</si>
  <si>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</si>
  <si>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</si>
  <si>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</si>
  <si>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</si>
  <si>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</si>
  <si>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</si>
  <si>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</si>
  <si>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</si>
  <si>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</si>
  <si>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</si>
  <si>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</si>
  <si>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</si>
  <si>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</si>
  <si>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</si>
  <si>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</si>
  <si>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</si>
  <si>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</si>
  <si>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</si>
  <si>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</si>
  <si>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</si>
  <si>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</si>
  <si>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</si>
  <si>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</si>
  <si>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</si>
  <si>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</si>
  <si>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</si>
  <si>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</si>
  <si>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</si>
  <si>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</si>
  <si>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</si>
  <si>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</si>
  <si>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</si>
  <si>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</si>
  <si>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</si>
  <si>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</si>
  <si>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</si>
  <si>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</si>
  <si>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</si>
  <si>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</si>
  <si>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</si>
  <si>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</si>
  <si>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</si>
  <si>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</si>
  <si>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</si>
  <si>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</si>
  <si>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</si>
  <si>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</si>
  <si>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</si>
  <si>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</si>
  <si>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</si>
  <si>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</si>
  <si>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</si>
  <si>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</si>
  <si>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</si>
  <si>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</si>
  <si>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</si>
  <si>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</si>
  <si>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</si>
  <si>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</si>
  <si>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</si>
  <si>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</si>
  <si>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</si>
  <si>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</si>
  <si>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</si>
  <si>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</si>
  <si>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</si>
  <si>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</si>
  <si>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</si>
  <si>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</si>
  <si>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</si>
  <si>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</si>
  <si>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</si>
  <si>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</si>
  <si>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</si>
  <si>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</si>
  <si>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</si>
  <si>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</si>
  <si>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</si>
  <si>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</si>
  <si>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</si>
  <si>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</si>
  <si>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</si>
  <si>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</si>
  <si>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</si>
  <si>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</si>
  <si>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</si>
  <si>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</si>
  <si>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</si>
  <si>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</si>
  <si>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</si>
  <si>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</si>
  <si>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</si>
  <si>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</si>
  <si>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</si>
  <si>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</si>
  <si>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</si>
  <si>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</si>
  <si>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</si>
  <si>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</si>
  <si>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</si>
  <si>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</si>
  <si>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</si>
  <si>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</si>
  <si>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</si>
  <si>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</si>
  <si>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</si>
  <si>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</si>
  <si>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</si>
  <si>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</si>
  <si>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</si>
  <si>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</si>
  <si>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</si>
  <si>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</si>
  <si>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</si>
  <si>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</si>
  <si>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</si>
  <si>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</si>
  <si>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</si>
  <si>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</si>
  <si>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</si>
  <si>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</si>
  <si>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</si>
  <si>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</si>
  <si>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</si>
  <si>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</si>
  <si>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</si>
  <si>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</si>
  <si>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</si>
  <si>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</si>
  <si>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</si>
  <si>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</si>
  <si>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</si>
  <si>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</si>
  <si>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</si>
  <si>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</si>
  <si>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</si>
  <si>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</si>
  <si>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</si>
  <si>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</si>
  <si>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</si>
  <si>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</si>
  <si>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</si>
  <si>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</si>
  <si>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</si>
  <si>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</si>
  <si>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</si>
  <si>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</si>
  <si>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</si>
  <si>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</si>
  <si>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</si>
  <si>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</si>
  <si>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</si>
  <si>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</si>
  <si>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</si>
  <si>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</si>
  <si>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</si>
  <si>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</si>
  <si>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</si>
  <si>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</si>
  <si>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</si>
  <si>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</si>
  <si>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</si>
  <si>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</si>
  <si>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</si>
  <si>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</si>
  <si>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</si>
  <si>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</si>
  <si>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</si>
  <si>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</si>
  <si>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</si>
  <si>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</si>
  <si>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</si>
  <si>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</si>
  <si>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</si>
  <si>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</si>
  <si>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</si>
  <si>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</si>
  <si>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</si>
  <si>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</si>
  <si>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</si>
  <si>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</si>
  <si>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</si>
  <si>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</si>
  <si>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</si>
  <si>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</si>
  <si>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</si>
  <si>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</si>
  <si>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</si>
  <si>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</si>
  <si>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</si>
  <si>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</si>
  <si>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</si>
  <si>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</si>
  <si>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</si>
  <si>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</si>
  <si>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</si>
  <si>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</si>
  <si>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</si>
  <si>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</si>
  <si>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</si>
  <si>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</si>
  <si>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</si>
  <si>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</si>
  <si>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</si>
  <si>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</si>
  <si>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</si>
  <si>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</si>
  <si>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</si>
  <si>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</si>
  <si>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</si>
  <si>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</si>
  <si>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</si>
  <si>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</si>
  <si>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</si>
  <si>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</si>
  <si>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</si>
  <si>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</si>
  <si>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</si>
  <si>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</si>
  <si>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</si>
  <si>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</si>
  <si>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</si>
  <si>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</si>
  <si>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</si>
  <si>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</si>
  <si>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</si>
  <si>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</si>
  <si>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</si>
  <si>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</si>
  <si>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</si>
  <si>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</si>
  <si>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</si>
  <si>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</si>
  <si>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</si>
  <si>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</si>
  <si>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</si>
  <si>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</si>
  <si>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</si>
  <si>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</si>
  <si>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</si>
  <si>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</si>
  <si>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</si>
  <si>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</si>
  <si>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</si>
  <si>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</si>
  <si>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</si>
  <si>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</si>
  <si>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</si>
  <si>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</si>
  <si>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</si>
  <si>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</si>
  <si>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</si>
  <si>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</si>
  <si>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</si>
  <si>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</si>
  <si>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</si>
  <si>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</si>
  <si>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</si>
  <si>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</si>
  <si>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</si>
  <si>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</si>
  <si>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</si>
  <si>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</si>
  <si>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</si>
  <si>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</si>
  <si>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</si>
  <si>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</si>
  <si>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</si>
  <si>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</si>
  <si>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</si>
  <si>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</si>
  <si>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</si>
  <si>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</si>
  <si>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</si>
  <si>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</si>
  <si>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</si>
  <si>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</si>
  <si>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</si>
  <si>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</si>
  <si>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</si>
  <si>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</si>
  <si>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</si>
  <si>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</si>
  <si>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</si>
  <si>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</si>
  <si>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</si>
  <si>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</si>
  <si>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</si>
  <si>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</si>
  <si>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</si>
  <si>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</si>
  <si>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</si>
  <si>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</si>
  <si>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</si>
  <si>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</si>
  <si>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</si>
  <si>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</si>
  <si>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</si>
  <si>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</si>
  <si>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</si>
  <si>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</si>
  <si>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</si>
  <si>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</si>
  <si>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</si>
  <si>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</si>
  <si>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</si>
  <si>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</si>
  <si>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</si>
  <si>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</si>
  <si>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</si>
  <si>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</si>
  <si>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</si>
  <si>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</si>
  <si>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</si>
  <si>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</si>
  <si>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</si>
  <si>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</si>
  <si>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</si>
  <si>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</si>
  <si>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</si>
  <si>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</si>
  <si>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</si>
  <si>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</si>
  <si>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</si>
  <si>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</si>
  <si>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</si>
  <si>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</si>
  <si>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</si>
  <si>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</si>
  <si>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</si>
  <si>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</si>
  <si>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</si>
  <si>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</si>
  <si>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</si>
  <si>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</si>
  <si>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</si>
  <si>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</si>
  <si>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</si>
  <si>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</si>
  <si>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</si>
  <si>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</si>
  <si>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</si>
  <si>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</si>
  <si>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</si>
  <si>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</si>
  <si>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</si>
  <si>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</si>
  <si>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</si>
  <si>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</si>
  <si>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</si>
  <si>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</si>
  <si>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J</t>
  </si>
  <si>
    <t>K</t>
  </si>
  <si>
    <t>L=(J+K)</t>
  </si>
  <si>
    <t>M=(L/C)</t>
  </si>
  <si>
    <t>Eredeti ei.</t>
  </si>
  <si>
    <t>Módosított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</si>
  <si>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</si>
  <si>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</si>
  <si>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</si>
  <si>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</si>
  <si>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</si>
  <si>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</si>
  <si>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</si>
  <si>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</si>
  <si>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</si>
  <si>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</si>
  <si>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</si>
  <si>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</si>
  <si>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</si>
  <si>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</si>
  <si>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</si>
  <si>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</si>
  <si>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</si>
  <si>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</si>
  <si>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</si>
  <si>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</si>
  <si>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</si>
  <si>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</si>
  <si>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</si>
  <si>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</si>
  <si>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</si>
  <si>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</si>
  <si>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</si>
  <si>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</si>
  <si>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</si>
  <si>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</si>
  <si>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</si>
  <si>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</si>
  <si>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</si>
  <si>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</si>
  <si>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</si>
  <si>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</si>
  <si>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</si>
  <si>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</si>
  <si>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</si>
  <si>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</si>
  <si>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</si>
  <si>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</si>
  <si>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</si>
  <si>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</si>
  <si>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</si>
  <si>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2019. évi eredeti előirányzat BEVÉTELEK</t>
  </si>
  <si>
    <t>ALAPADATOK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</si>
  <si>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</si>
  <si>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</si>
  <si>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</si>
  <si>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</si>
  <si>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</si>
  <si>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</si>
  <si>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</si>
  <si>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</si>
  <si>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</si>
  <si>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6. költségvetési szerv neve</t>
  </si>
  <si>
    <t>6 kvi név</t>
  </si>
  <si>
    <t>7. költségvetési szerv neve</t>
  </si>
  <si>
    <t>8. költségvetési szerv neve</t>
  </si>
  <si>
    <t>8 kvi név</t>
  </si>
  <si>
    <t>9 kvi név</t>
  </si>
  <si>
    <t>10. költségvetési szerv neve</t>
  </si>
  <si>
    <t>10 kvi név</t>
  </si>
  <si>
    <t>BEVÉTELEK, KIADÁSOK ÖSSZEVONT MÉRLEGE</t>
  </si>
  <si>
    <t>Tájékoztatató a 2019. évi költségvetés  I. féléves alakulásáról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</si>
  <si>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</si>
  <si>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</si>
  <si>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</si>
  <si>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……………….2019…………….. hó ………nap</t>
  </si>
  <si>
    <t>Önkormányzati szintű</t>
  </si>
  <si>
    <t>05</t>
  </si>
  <si>
    <t>06</t>
  </si>
  <si>
    <t>07</t>
  </si>
  <si>
    <t>08</t>
  </si>
  <si>
    <t>09</t>
  </si>
  <si>
    <t>10</t>
  </si>
  <si>
    <t>11</t>
  </si>
  <si>
    <t>12</t>
  </si>
  <si>
    <t>Európai uniós támogatással megvalósuló projektek</t>
  </si>
  <si>
    <r>
      <t>EU-s projekt neve, azonosítója:</t>
    </r>
    <r>
      <rPr>
        <sz val="12"/>
        <rFont val="Times New Roman"/>
        <family val="1"/>
        <charset val="238"/>
      </rPr>
      <t xml:space="preserve">* </t>
    </r>
  </si>
  <si>
    <t>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</si>
  <si>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</si>
  <si>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</si>
  <si>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</si>
  <si>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</si>
  <si>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</si>
  <si>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</si>
  <si>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</si>
  <si>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</si>
  <si>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</si>
  <si>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</si>
  <si>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</si>
  <si>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Ellenőrző lista</t>
  </si>
  <si>
    <t>Ellenőrzés az 1-es és 2.1., 2.2. mellékletek adati esetében</t>
  </si>
  <si>
    <t>3. melléklet</t>
  </si>
  <si>
    <t>4. melléklet</t>
  </si>
  <si>
    <t>6.1. melléklet</t>
  </si>
  <si>
    <t>6.1.3. melléklet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</si>
  <si>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</si>
  <si>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</si>
  <si>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</si>
  <si>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</si>
  <si>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</si>
  <si>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</si>
  <si>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</si>
  <si>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</si>
  <si>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</si>
  <si>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</si>
  <si>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</si>
  <si>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7. melléklet</t>
  </si>
  <si>
    <t>5. melléklet</t>
  </si>
  <si>
    <t>Működési célú bevételek, kiadások mérlege</t>
  </si>
  <si>
    <t>Felhalmozási célú bevételek, kiadások mérlege</t>
  </si>
  <si>
    <t xml:space="preserve">bevételei, kiadásai, hozzjárulások  </t>
  </si>
  <si>
    <t>Összes  bevétel, kiadás</t>
  </si>
  <si>
    <t>Kötelező feladtok bevételei, kiadásai</t>
  </si>
  <si>
    <t>Államigazgatási feladatok  bevételei, kiadásai</t>
  </si>
  <si>
    <t>Táblázatok adatainak összefüggései</t>
  </si>
  <si>
    <t>Időközi tájékoztató űrlapjainak összefüggései:</t>
  </si>
  <si>
    <t>Egyéb</t>
  </si>
  <si>
    <t>Telekadó</t>
  </si>
  <si>
    <t>Borsodnádasdi Közösségi Ház és Könyvtár</t>
  </si>
  <si>
    <t>Borsodnádasdi Mesekert Óvoda</t>
  </si>
  <si>
    <t>Borsodnádasdi Szociális Alapszolgáltatási Központ</t>
  </si>
  <si>
    <t>Borsodnádasdi Polgármesteri  Hivatal</t>
  </si>
  <si>
    <t>Tulajdonosi  bevételek</t>
  </si>
  <si>
    <t>BORSODNÁDASD VÁROS ÖNKORMÁNYZATA</t>
  </si>
  <si>
    <t>AHT belüli megelőlegezések visszafizetése</t>
  </si>
  <si>
    <t>KÖTELEZŐ FELADATOK  BEVÉTELEK, KIADÁSOK ÖSSZEVONT MÉRLEGE</t>
  </si>
  <si>
    <t>ÖNKÉNT VÁLLALT FELADATOK BEVÉTELEK, KIADÁSOK ÖSSZEVONT MÉRLEGE</t>
  </si>
  <si>
    <t>ÁLLAMIGAZGATÁSI FELADATOK BEVÉTELEK, KIADÁSOK ÖSSZEVONT MÉRLEGE</t>
  </si>
  <si>
    <t>7/2019.(X.09.)</t>
  </si>
  <si>
    <t xml:space="preserve">önkormányzati rendelethez 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</si>
</sst>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60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1"/>
      <name val="Times New Roman CE"/>
      <charset val="238"/>
    </font>
    <font>
      <sz val="6.5"/>
      <name val="Times New Roman CE"/>
      <charset val="238"/>
    </font>
    <font>
      <b/>
      <sz val="6.5"/>
      <name val="Times New Roman CE"/>
      <charset val="238"/>
    </font>
    <font>
      <i/>
      <sz val="6.5"/>
      <name val="Times New Roman CE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50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vertical="center" wrapText="1"/>
    </xf>
    <xf numFmtId="0" fontId="17" fillId="0" borderId="1" xfId="6" applyFont="1" applyFill="1" applyBorder="1" applyAlignment="1" applyProtection="1">
      <alignment horizontal="left" vertical="center" wrapText="1" indent="1"/>
    </xf>
    <xf numFmtId="0" fontId="17" fillId="0" borderId="2" xfId="6" applyFont="1" applyFill="1" applyBorder="1" applyAlignment="1" applyProtection="1">
      <alignment horizontal="left" vertical="center" wrapText="1" indent="1"/>
    </xf>
    <xf numFmtId="0" fontId="17" fillId="0" borderId="3" xfId="6" applyFont="1" applyFill="1" applyBorder="1" applyAlignment="1" applyProtection="1">
      <alignment horizontal="left" vertical="center" wrapText="1" indent="1"/>
    </xf>
    <xf numFmtId="0" fontId="17" fillId="0" borderId="4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49" fontId="17" fillId="0" borderId="7" xfId="6" applyNumberFormat="1" applyFont="1" applyFill="1" applyBorder="1" applyAlignment="1" applyProtection="1">
      <alignment horizontal="left" vertical="center" wrapText="1" indent="1"/>
    </xf>
    <xf numFmtId="49" fontId="17" fillId="0" borderId="8" xfId="6" applyNumberFormat="1" applyFont="1" applyFill="1" applyBorder="1" applyAlignment="1" applyProtection="1">
      <alignment horizontal="left" vertical="center" wrapText="1" indent="1"/>
    </xf>
    <xf numFmtId="49" fontId="17" fillId="0" borderId="9" xfId="6" applyNumberFormat="1" applyFont="1" applyFill="1" applyBorder="1" applyAlignment="1" applyProtection="1">
      <alignment horizontal="left" vertical="center" wrapText="1" indent="1"/>
    </xf>
    <xf numFmtId="49" fontId="17" fillId="0" borderId="10" xfId="6" applyNumberFormat="1" applyFont="1" applyFill="1" applyBorder="1" applyAlignment="1" applyProtection="1">
      <alignment horizontal="left" vertical="center" wrapText="1" indent="1"/>
    </xf>
    <xf numFmtId="49" fontId="17" fillId="0" borderId="11" xfId="6" applyNumberFormat="1" applyFont="1" applyFill="1" applyBorder="1" applyAlignment="1" applyProtection="1">
      <alignment horizontal="left" vertical="center" wrapText="1" indent="1"/>
    </xf>
    <xf numFmtId="49" fontId="17" fillId="0" borderId="12" xfId="6" applyNumberFormat="1" applyFont="1" applyFill="1" applyBorder="1" applyAlignment="1" applyProtection="1">
      <alignment horizontal="left" vertical="center" wrapText="1" indent="1"/>
    </xf>
    <xf numFmtId="0" fontId="17" fillId="0" borderId="0" xfId="6" applyFont="1" applyFill="1" applyBorder="1" applyAlignment="1" applyProtection="1">
      <alignment horizontal="left" vertical="center" wrapText="1" indent="1"/>
    </xf>
    <xf numFmtId="0" fontId="16" fillId="0" borderId="13" xfId="6" applyFont="1" applyFill="1" applyBorder="1" applyAlignment="1" applyProtection="1">
      <alignment horizontal="left" vertical="center" wrapText="1" indent="1"/>
    </xf>
    <xf numFmtId="0" fontId="16" fillId="0" borderId="14" xfId="6" applyFont="1" applyFill="1" applyBorder="1" applyAlignment="1" applyProtection="1">
      <alignment horizontal="left" vertical="center" wrapText="1" indent="1"/>
    </xf>
    <xf numFmtId="0" fontId="16" fillId="0" borderId="15" xfId="6" applyFont="1" applyFill="1" applyBorder="1" applyAlignment="1" applyProtection="1">
      <alignment horizontal="left" vertical="center" wrapText="1" indent="1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6" applyFont="1" applyFill="1" applyBorder="1" applyAlignment="1" applyProtection="1">
      <alignment vertical="center" wrapText="1"/>
    </xf>
    <xf numFmtId="0" fontId="16" fillId="0" borderId="16" xfId="6" applyFont="1" applyFill="1" applyBorder="1" applyAlignment="1" applyProtection="1">
      <alignment vertical="center" wrapText="1"/>
    </xf>
    <xf numFmtId="0" fontId="16" fillId="0" borderId="13" xfId="6" applyFont="1" applyFill="1" applyBorder="1" applyAlignment="1" applyProtection="1">
      <alignment horizontal="center" vertical="center" wrapText="1"/>
    </xf>
    <xf numFmtId="0" fontId="16" fillId="0" borderId="14" xfId="6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64" fontId="17" fillId="0" borderId="17" xfId="0" applyNumberFormat="1" applyFont="1" applyFill="1" applyBorder="1" applyAlignment="1" applyProtection="1">
      <alignment vertical="center" wrapTex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vertical="center" wrapText="1"/>
    </xf>
    <xf numFmtId="164" fontId="16" fillId="0" borderId="14" xfId="0" applyNumberFormat="1" applyFont="1" applyFill="1" applyBorder="1" applyAlignment="1" applyProtection="1">
      <alignment vertical="center" wrapText="1"/>
    </xf>
    <xf numFmtId="164" fontId="16" fillId="0" borderId="19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17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18" xfId="0" applyNumberFormat="1" applyFont="1" applyFill="1" applyBorder="1" applyAlignment="1" applyProtection="1">
      <alignment vertical="center" wrapText="1"/>
    </xf>
    <xf numFmtId="164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6" fillId="2" borderId="14" xfId="0" applyNumberFormat="1" applyFont="1" applyFill="1" applyBorder="1" applyAlignment="1" applyProtection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16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6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6" applyFont="1" applyFill="1" applyBorder="1" applyAlignment="1" applyProtection="1">
      <alignment horizontal="left" vertical="center" wrapText="1" indent="1"/>
    </xf>
    <xf numFmtId="0" fontId="17" fillId="0" borderId="2" xfId="6" applyFont="1" applyFill="1" applyBorder="1" applyAlignment="1" applyProtection="1">
      <alignment horizontal="left" indent="6"/>
    </xf>
    <xf numFmtId="0" fontId="17" fillId="0" borderId="2" xfId="6" applyFont="1" applyFill="1" applyBorder="1" applyAlignment="1" applyProtection="1">
      <alignment horizontal="left" vertical="center" wrapText="1" indent="6"/>
    </xf>
    <xf numFmtId="0" fontId="17" fillId="0" borderId="6" xfId="6" applyFont="1" applyFill="1" applyBorder="1" applyAlignment="1" applyProtection="1">
      <alignment horizontal="left" vertical="center" wrapText="1" indent="6"/>
    </xf>
    <xf numFmtId="0" fontId="17" fillId="0" borderId="20" xfId="6" applyFont="1" applyFill="1" applyBorder="1" applyAlignment="1" applyProtection="1">
      <alignment horizontal="left" vertical="center" wrapText="1" indent="6"/>
    </xf>
    <xf numFmtId="0" fontId="36" fillId="0" borderId="0" xfId="0" applyFont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4" fillId="0" borderId="0" xfId="0" applyFont="1" applyFill="1"/>
    <xf numFmtId="164" fontId="24" fillId="0" borderId="3" xfId="0" applyNumberFormat="1" applyFont="1" applyFill="1" applyBorder="1" applyAlignment="1" applyProtection="1">
      <alignment vertical="center"/>
      <protection locked="0"/>
    </xf>
    <xf numFmtId="164" fontId="24" fillId="0" borderId="2" xfId="0" applyNumberFormat="1" applyFont="1" applyFill="1" applyBorder="1" applyAlignment="1" applyProtection="1">
      <alignment vertical="center"/>
      <protection locked="0"/>
    </xf>
    <xf numFmtId="164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 applyProtection="1">
      <alignment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4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34" fillId="0" borderId="0" xfId="0" applyFont="1" applyFill="1" applyProtection="1"/>
    <xf numFmtId="0" fontId="24" fillId="0" borderId="9" xfId="0" applyFont="1" applyFill="1" applyBorder="1" applyAlignment="1" applyProtection="1">
      <alignment horizontal="center" vertical="center"/>
    </xf>
    <xf numFmtId="164" fontId="23" fillId="0" borderId="25" xfId="0" applyNumberFormat="1" applyFont="1" applyFill="1" applyBorder="1" applyAlignment="1" applyProtection="1">
      <alignment vertical="center"/>
    </xf>
    <xf numFmtId="0" fontId="24" fillId="0" borderId="8" xfId="0" applyFont="1" applyFill="1" applyBorder="1" applyAlignment="1" applyProtection="1">
      <alignment horizontal="center" vertical="center"/>
    </xf>
    <xf numFmtId="164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64" fontId="23" fillId="0" borderId="18" xfId="0" applyNumberFormat="1" applyFont="1" applyFill="1" applyBorder="1" applyAlignment="1" applyProtection="1">
      <alignment vertical="center"/>
    </xf>
    <xf numFmtId="0" fontId="23" fillId="0" borderId="13" xfId="0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vertical="center" wrapText="1"/>
    </xf>
    <xf numFmtId="164" fontId="23" fillId="0" borderId="14" xfId="0" applyNumberFormat="1" applyFont="1" applyFill="1" applyBorder="1" applyAlignment="1" applyProtection="1">
      <alignment vertical="center"/>
    </xf>
    <xf numFmtId="164" fontId="23" fillId="0" borderId="19" xfId="0" applyNumberFormat="1" applyFont="1" applyFill="1" applyBorder="1" applyAlignment="1" applyProtection="1">
      <alignment vertical="center"/>
    </xf>
    <xf numFmtId="0" fontId="34" fillId="0" borderId="0" xfId="0" applyFont="1" applyFill="1" applyProtection="1">
      <protection locked="0"/>
    </xf>
    <xf numFmtId="0" fontId="28" fillId="0" borderId="0" xfId="0" applyFont="1" applyFill="1" applyProtection="1">
      <protection locked="0"/>
    </xf>
    <xf numFmtId="164" fontId="16" fillId="0" borderId="26" xfId="6" applyNumberFormat="1" applyFont="1" applyFill="1" applyBorder="1" applyAlignment="1" applyProtection="1">
      <alignment horizontal="right" vertical="center" wrapText="1" indent="1"/>
    </xf>
    <xf numFmtId="164" fontId="17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30" xfId="0" applyFont="1" applyBorder="1" applyAlignment="1" applyProtection="1">
      <alignment horizontal="left" vertical="center" wrapText="1" indent="1"/>
    </xf>
    <xf numFmtId="164" fontId="6" fillId="0" borderId="0" xfId="6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left" vertical="center" wrapText="1" indent="1"/>
    </xf>
    <xf numFmtId="164" fontId="17" fillId="0" borderId="34" xfId="0" applyNumberFormat="1" applyFont="1" applyFill="1" applyBorder="1" applyAlignment="1" applyProtection="1">
      <alignment horizontal="left" vertical="center" wrapText="1" indent="1"/>
    </xf>
    <xf numFmtId="164" fontId="26" fillId="0" borderId="35" xfId="0" applyNumberFormat="1" applyFont="1" applyFill="1" applyBorder="1" applyAlignment="1" applyProtection="1">
      <alignment horizontal="left" vertical="center" wrapText="1" indent="1"/>
    </xf>
    <xf numFmtId="164" fontId="1" fillId="0" borderId="36" xfId="0" applyNumberFormat="1" applyFont="1" applyFill="1" applyBorder="1" applyAlignment="1" applyProtection="1">
      <alignment horizontal="left" vertical="center" wrapText="1" indent="1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33" xfId="0" applyNumberFormat="1" applyFont="1" applyFill="1" applyBorder="1" applyAlignment="1" applyProtection="1">
      <alignment horizontal="left" vertical="center" wrapText="1" indent="1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2"/>
    </xf>
    <xf numFmtId="164" fontId="24" fillId="0" borderId="2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2"/>
    </xf>
    <xf numFmtId="164" fontId="17" fillId="0" borderId="10" xfId="0" applyNumberFormat="1" applyFont="1" applyFill="1" applyBorder="1" applyAlignment="1" applyProtection="1">
      <alignment horizontal="left" vertical="center" wrapText="1" indent="2"/>
    </xf>
    <xf numFmtId="164" fontId="27" fillId="0" borderId="3" xfId="0" applyNumberFormat="1" applyFont="1" applyFill="1" applyBorder="1" applyAlignment="1" applyProtection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6" xfId="0" applyNumberFormat="1" applyFont="1" applyFill="1" applyBorder="1" applyAlignment="1" applyProtection="1">
      <alignment horizontal="righ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4" fontId="16" fillId="0" borderId="2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6" applyNumberFormat="1" applyFont="1" applyFill="1" applyBorder="1" applyAlignment="1" applyProtection="1">
      <alignment horizontal="right" vertical="center" wrapText="1" indent="1"/>
    </xf>
    <xf numFmtId="164" fontId="16" fillId="0" borderId="14" xfId="6" applyNumberFormat="1" applyFont="1" applyFill="1" applyBorder="1" applyAlignment="1" applyProtection="1">
      <alignment horizontal="right" vertical="center" wrapText="1" indent="1"/>
    </xf>
    <xf numFmtId="164" fontId="17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6" applyNumberFormat="1" applyFont="1" applyFill="1" applyBorder="1" applyAlignment="1" applyProtection="1">
      <alignment horizontal="right" vertical="center" wrapText="1" indent="1"/>
    </xf>
    <xf numFmtId="0" fontId="16" fillId="0" borderId="15" xfId="6" applyFont="1" applyFill="1" applyBorder="1" applyAlignment="1" applyProtection="1">
      <alignment horizontal="center" vertical="center" wrapText="1"/>
    </xf>
    <xf numFmtId="0" fontId="16" fillId="0" borderId="16" xfId="6" applyFont="1" applyFill="1" applyBorder="1" applyAlignment="1" applyProtection="1">
      <alignment horizontal="center" vertical="center" wrapText="1"/>
    </xf>
    <xf numFmtId="0" fontId="17" fillId="0" borderId="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7" fillId="0" borderId="0" xfId="6" applyFont="1" applyFill="1" applyProtection="1"/>
    <xf numFmtId="0" fontId="13" fillId="0" borderId="0" xfId="6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6" applyFill="1" applyAlignment="1" applyProtection="1"/>
    <xf numFmtId="0" fontId="19" fillId="0" borderId="0" xfId="6" applyFont="1" applyFill="1" applyProtection="1"/>
    <xf numFmtId="0" fontId="18" fillId="0" borderId="0" xfId="6" applyFont="1" applyFill="1" applyProtection="1"/>
    <xf numFmtId="16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6" applyNumberFormat="1" applyFont="1" applyFill="1" applyBorder="1" applyAlignment="1" applyProtection="1">
      <alignment horizontal="center" vertical="center" wrapText="1"/>
    </xf>
    <xf numFmtId="49" fontId="17" fillId="0" borderId="8" xfId="6" applyNumberFormat="1" applyFont="1" applyFill="1" applyBorder="1" applyAlignment="1" applyProtection="1">
      <alignment horizontal="center" vertical="center" wrapText="1"/>
    </xf>
    <xf numFmtId="49" fontId="17" fillId="0" borderId="10" xfId="6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30" xfId="0" applyFont="1" applyBorder="1" applyAlignment="1" applyProtection="1">
      <alignment horizontal="center" wrapText="1"/>
    </xf>
    <xf numFmtId="49" fontId="17" fillId="0" borderId="11" xfId="6" applyNumberFormat="1" applyFont="1" applyFill="1" applyBorder="1" applyAlignment="1" applyProtection="1">
      <alignment horizontal="center" vertical="center" wrapText="1"/>
    </xf>
    <xf numFmtId="49" fontId="17" fillId="0" borderId="7" xfId="6" applyNumberFormat="1" applyFont="1" applyFill="1" applyBorder="1" applyAlignment="1" applyProtection="1">
      <alignment horizontal="center" vertical="center" wrapText="1"/>
    </xf>
    <xf numFmtId="49" fontId="17" fillId="0" borderId="12" xfId="6" applyNumberFormat="1" applyFont="1" applyFill="1" applyBorder="1" applyAlignment="1" applyProtection="1">
      <alignment horizontal="center" vertical="center" wrapText="1"/>
    </xf>
    <xf numFmtId="0" fontId="22" fillId="0" borderId="30" xfId="0" applyFont="1" applyBorder="1" applyAlignment="1" applyProtection="1">
      <alignment horizontal="center" vertical="center" wrapText="1"/>
    </xf>
    <xf numFmtId="164" fontId="23" fillId="0" borderId="26" xfId="6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6" applyFont="1" applyFill="1" applyBorder="1" applyAlignment="1" applyProtection="1">
      <alignment horizontal="left" vertical="center" wrapText="1" indent="1"/>
    </xf>
    <xf numFmtId="0" fontId="24" fillId="0" borderId="2" xfId="6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4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30" xfId="0" applyFont="1" applyBorder="1" applyAlignment="1" applyProtection="1">
      <alignment vertical="center" wrapText="1"/>
    </xf>
    <xf numFmtId="164" fontId="16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30" xfId="6" applyFont="1" applyFill="1" applyBorder="1" applyAlignment="1" applyProtection="1">
      <alignment horizontal="left" vertical="center" wrapText="1" indent="1"/>
    </xf>
    <xf numFmtId="0" fontId="16" fillId="0" borderId="23" xfId="6" applyFont="1" applyFill="1" applyBorder="1" applyAlignment="1" applyProtection="1">
      <alignment vertical="center" wrapText="1"/>
    </xf>
    <xf numFmtId="0" fontId="17" fillId="0" borderId="20" xfId="6" applyFont="1" applyFill="1" applyBorder="1" applyAlignment="1" applyProtection="1">
      <alignment horizontal="left" vertical="center" wrapText="1" indent="7"/>
    </xf>
    <xf numFmtId="0" fontId="16" fillId="0" borderId="13" xfId="6" applyFont="1" applyFill="1" applyBorder="1" applyAlignment="1" applyProtection="1">
      <alignment horizontal="left" vertical="center" wrapTex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6" applyNumberFormat="1" applyFont="1" applyFill="1" applyBorder="1" applyAlignment="1" applyProtection="1">
      <alignment horizontal="center" vertical="center" wrapText="1"/>
    </xf>
    <xf numFmtId="164" fontId="16" fillId="0" borderId="39" xfId="6" applyNumberFormat="1" applyFont="1" applyFill="1" applyBorder="1" applyAlignment="1" applyProtection="1">
      <alignment horizontal="right" vertical="center" wrapText="1" indent="1"/>
    </xf>
    <xf numFmtId="164" fontId="17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2" xfId="6" applyNumberFormat="1" applyFont="1" applyFill="1" applyBorder="1" applyAlignment="1" applyProtection="1">
      <alignment horizontal="right" vertical="center" wrapText="1" indent="1"/>
    </xf>
    <xf numFmtId="164" fontId="22" fillId="0" borderId="26" xfId="0" applyNumberFormat="1" applyFont="1" applyBorder="1" applyAlignment="1" applyProtection="1">
      <alignment horizontal="right" vertical="center" wrapText="1" indent="1"/>
    </xf>
    <xf numFmtId="164" fontId="22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26" xfId="0" quotePrefix="1" applyNumberFormat="1" applyFont="1" applyBorder="1" applyAlignment="1" applyProtection="1">
      <alignment horizontal="right" vertical="center" wrapText="1" indent="1"/>
    </xf>
    <xf numFmtId="164" fontId="17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3" xfId="6" applyNumberFormat="1" applyFont="1" applyFill="1" applyBorder="1" applyAlignment="1" applyProtection="1">
      <alignment horizontal="right" vertical="center" wrapText="1" indent="1"/>
    </xf>
    <xf numFmtId="164" fontId="22" fillId="0" borderId="14" xfId="0" applyNumberFormat="1" applyFont="1" applyBorder="1" applyAlignment="1" applyProtection="1">
      <alignment horizontal="right" vertical="center" wrapText="1" indent="1"/>
    </xf>
    <xf numFmtId="164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6" applyFont="1" applyFill="1" applyBorder="1" applyAlignment="1" applyProtection="1">
      <alignment horizontal="center" vertical="center" wrapText="1"/>
    </xf>
    <xf numFmtId="0" fontId="7" fillId="0" borderId="43" xfId="6" applyFont="1" applyFill="1" applyBorder="1" applyAlignment="1" applyProtection="1">
      <alignment horizontal="center" vertical="center" wrapText="1"/>
    </xf>
    <xf numFmtId="0" fontId="16" fillId="0" borderId="44" xfId="6" applyFont="1" applyFill="1" applyBorder="1" applyAlignment="1" applyProtection="1">
      <alignment horizontal="center" vertical="center" wrapText="1"/>
    </xf>
    <xf numFmtId="164" fontId="16" fillId="0" borderId="45" xfId="6" applyNumberFormat="1" applyFont="1" applyFill="1" applyBorder="1" applyAlignment="1" applyProtection="1">
      <alignment horizontal="right" vertical="center" wrapText="1" indent="1"/>
    </xf>
    <xf numFmtId="164" fontId="16" fillId="0" borderId="24" xfId="6" applyNumberFormat="1" applyFont="1" applyFill="1" applyBorder="1" applyAlignment="1" applyProtection="1">
      <alignment horizontal="right" vertical="center" wrapText="1" indent="1"/>
    </xf>
    <xf numFmtId="164" fontId="17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6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4" xfId="6" applyNumberFormat="1" applyFont="1" applyFill="1" applyBorder="1" applyAlignment="1" applyProtection="1">
      <alignment horizontal="right" vertical="center" wrapText="1" indent="1"/>
    </xf>
    <xf numFmtId="164" fontId="22" fillId="0" borderId="24" xfId="0" applyNumberFormat="1" applyFont="1" applyBorder="1" applyAlignment="1" applyProtection="1">
      <alignment horizontal="right" vertical="center" wrapText="1" indent="1"/>
    </xf>
    <xf numFmtId="164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6" applyFont="1" applyFill="1" applyBorder="1" applyAlignment="1" applyProtection="1">
      <alignment horizontal="center" vertical="center" wrapText="1"/>
    </xf>
    <xf numFmtId="164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4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5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164" fontId="16" fillId="0" borderId="35" xfId="0" applyNumberFormat="1" applyFont="1" applyFill="1" applyBorder="1" applyAlignment="1">
      <alignment horizontal="center" vertical="center"/>
    </xf>
    <xf numFmtId="164" fontId="16" fillId="0" borderId="35" xfId="0" applyNumberFormat="1" applyFont="1" applyFill="1" applyBorder="1" applyAlignment="1">
      <alignment horizontal="center" vertical="center" wrapText="1"/>
    </xf>
    <xf numFmtId="164" fontId="16" fillId="0" borderId="48" xfId="0" applyNumberFormat="1" applyFont="1" applyFill="1" applyBorder="1" applyAlignment="1">
      <alignment horizontal="center" vertical="center"/>
    </xf>
    <xf numFmtId="164" fontId="16" fillId="0" borderId="49" xfId="0" applyNumberFormat="1" applyFont="1" applyFill="1" applyBorder="1" applyAlignment="1">
      <alignment horizontal="center" vertical="center"/>
    </xf>
    <xf numFmtId="164" fontId="16" fillId="0" borderId="49" xfId="0" applyNumberFormat="1" applyFont="1" applyFill="1" applyBorder="1" applyAlignment="1">
      <alignment horizontal="center" vertical="center" wrapText="1"/>
    </xf>
    <xf numFmtId="49" fontId="24" fillId="0" borderId="50" xfId="0" applyNumberFormat="1" applyFont="1" applyFill="1" applyBorder="1" applyAlignment="1">
      <alignment horizontal="left" vertical="center"/>
    </xf>
    <xf numFmtId="3" fontId="24" fillId="0" borderId="51" xfId="0" applyNumberFormat="1" applyFont="1" applyFill="1" applyBorder="1" applyAlignment="1" applyProtection="1">
      <alignment horizontal="right" vertical="center" wrapText="1"/>
      <protection locked="0"/>
    </xf>
    <xf numFmtId="49" fontId="27" fillId="0" borderId="52" xfId="0" quotePrefix="1" applyNumberFormat="1" applyFont="1" applyFill="1" applyBorder="1" applyAlignment="1">
      <alignment horizontal="left" vertical="center" indent="1"/>
    </xf>
    <xf numFmtId="49" fontId="24" fillId="0" borderId="52" xfId="0" applyNumberFormat="1" applyFont="1" applyFill="1" applyBorder="1" applyAlignment="1">
      <alignment horizontal="left" vertical="center"/>
    </xf>
    <xf numFmtId="49" fontId="24" fillId="0" borderId="53" xfId="0" applyNumberFormat="1" applyFont="1" applyFill="1" applyBorder="1" applyAlignment="1" applyProtection="1">
      <alignment horizontal="left" vertical="center"/>
      <protection locked="0"/>
    </xf>
    <xf numFmtId="3" fontId="24" fillId="0" borderId="54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55" xfId="0" applyNumberFormat="1" applyFont="1" applyFill="1" applyBorder="1" applyAlignment="1" applyProtection="1">
      <alignment horizontal="left" vertical="center" indent="1"/>
      <protection locked="0"/>
    </xf>
    <xf numFmtId="49" fontId="23" fillId="0" borderId="56" xfId="0" applyNumberFormat="1" applyFont="1" applyFill="1" applyBorder="1" applyAlignment="1" applyProtection="1">
      <alignment vertical="center"/>
      <protection locked="0"/>
    </xf>
    <xf numFmtId="49" fontId="23" fillId="0" borderId="56" xfId="0" applyNumberFormat="1" applyFont="1" applyFill="1" applyBorder="1" applyAlignment="1" applyProtection="1">
      <alignment horizontal="right" vertical="center"/>
      <protection locked="0"/>
    </xf>
    <xf numFmtId="3" fontId="17" fillId="0" borderId="56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2" xfId="0" applyNumberFormat="1" applyFont="1" applyFill="1" applyBorder="1" applyAlignment="1" applyProtection="1">
      <alignment vertical="center"/>
      <protection locked="0"/>
    </xf>
    <xf numFmtId="49" fontId="23" fillId="0" borderId="22" xfId="0" applyNumberFormat="1" applyFont="1" applyFill="1" applyBorder="1" applyAlignment="1" applyProtection="1">
      <alignment horizontal="right" vertical="center"/>
      <protection locked="0"/>
    </xf>
    <xf numFmtId="3" fontId="17" fillId="0" borderId="22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9" xfId="0" applyNumberFormat="1" applyFont="1" applyFill="1" applyBorder="1" applyAlignment="1">
      <alignment horizontal="left" vertical="center"/>
    </xf>
    <xf numFmtId="49" fontId="24" fillId="0" borderId="8" xfId="0" applyNumberFormat="1" applyFont="1" applyFill="1" applyBorder="1" applyAlignment="1">
      <alignment horizontal="left" vertical="center"/>
    </xf>
    <xf numFmtId="49" fontId="24" fillId="0" borderId="10" xfId="0" applyNumberFormat="1" applyFont="1" applyFill="1" applyBorder="1" applyAlignment="1" applyProtection="1">
      <alignment horizontal="left" vertical="center"/>
      <protection locked="0"/>
    </xf>
    <xf numFmtId="165" fontId="16" fillId="0" borderId="35" xfId="0" applyNumberFormat="1" applyFont="1" applyFill="1" applyBorder="1" applyAlignment="1">
      <alignment horizontal="left" vertical="center" wrapText="1" indent="1"/>
    </xf>
    <xf numFmtId="165" fontId="39" fillId="0" borderId="0" xfId="0" applyNumberFormat="1" applyFont="1" applyFill="1" applyBorder="1" applyAlignment="1">
      <alignment horizontal="left" vertical="center" wrapText="1"/>
    </xf>
    <xf numFmtId="164" fontId="23" fillId="0" borderId="35" xfId="0" applyNumberFormat="1" applyFont="1" applyFill="1" applyBorder="1" applyAlignment="1">
      <alignment horizontal="center" vertical="center" wrapText="1"/>
    </xf>
    <xf numFmtId="3" fontId="24" fillId="0" borderId="32" xfId="0" applyNumberFormat="1" applyFont="1" applyFill="1" applyBorder="1" applyAlignment="1" applyProtection="1">
      <alignment horizontal="right" vertical="center" wrapText="1"/>
      <protection locked="0"/>
    </xf>
    <xf numFmtId="3" fontId="24" fillId="0" borderId="57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35" xfId="0" applyNumberFormat="1" applyFont="1" applyFill="1" applyBorder="1" applyAlignment="1">
      <alignment horizontal="right" vertical="center" wrapText="1"/>
    </xf>
    <xf numFmtId="0" fontId="16" fillId="0" borderId="58" xfId="0" applyFont="1" applyFill="1" applyBorder="1" applyAlignment="1" applyProtection="1">
      <alignment horizontal="center" vertical="center" wrapText="1"/>
    </xf>
    <xf numFmtId="164" fontId="24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6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3" xfId="6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3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0" applyNumberFormat="1" applyFont="1" applyFill="1" applyBorder="1" applyAlignment="1" applyProtection="1">
      <alignment horizontal="right" vertical="center" wrapText="1" indent="1"/>
    </xf>
    <xf numFmtId="164" fontId="1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30" xfId="0" applyFont="1" applyBorder="1" applyAlignment="1">
      <alignment horizontal="left" vertical="center"/>
    </xf>
    <xf numFmtId="0" fontId="4" fillId="0" borderId="59" xfId="0" applyFont="1" applyBorder="1" applyAlignment="1">
      <alignment vertical="center" wrapText="1"/>
    </xf>
    <xf numFmtId="0" fontId="40" fillId="0" borderId="0" xfId="0" applyFont="1" applyFill="1" applyProtection="1"/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26" xfId="0" applyNumberFormat="1" applyFont="1" applyFill="1" applyBorder="1" applyAlignment="1" applyProtection="1">
      <alignment horizontal="right" vertical="center" wrapText="1" indent="1"/>
    </xf>
    <xf numFmtId="3" fontId="41" fillId="0" borderId="60" xfId="0" applyNumberFormat="1" applyFont="1" applyFill="1" applyBorder="1" applyAlignment="1" applyProtection="1">
      <alignment horizontal="right" vertical="center"/>
      <protection locked="0"/>
    </xf>
    <xf numFmtId="3" fontId="41" fillId="0" borderId="60" xfId="0" applyNumberFormat="1" applyFont="1" applyFill="1" applyBorder="1" applyAlignment="1" applyProtection="1">
      <alignment horizontal="right" vertical="center" wrapText="1"/>
      <protection locked="0"/>
    </xf>
    <xf numFmtId="3" fontId="41" fillId="0" borderId="51" xfId="0" applyNumberFormat="1" applyFont="1" applyFill="1" applyBorder="1" applyAlignment="1" applyProtection="1">
      <alignment horizontal="right" vertical="center" wrapText="1"/>
      <protection locked="0"/>
    </xf>
    <xf numFmtId="164" fontId="42" fillId="0" borderId="51" xfId="0" applyNumberFormat="1" applyFont="1" applyFill="1" applyBorder="1" applyAlignment="1">
      <alignment horizontal="right" vertical="center" wrapText="1"/>
    </xf>
    <xf numFmtId="4" fontId="42" fillId="0" borderId="51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 applyProtection="1">
      <alignment horizontal="right" vertical="center"/>
      <protection locked="0"/>
    </xf>
    <xf numFmtId="3" fontId="43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42" fillId="0" borderId="33" xfId="0" applyNumberFormat="1" applyFont="1" applyFill="1" applyBorder="1" applyAlignment="1">
      <alignment horizontal="right" vertical="center" wrapText="1"/>
    </xf>
    <xf numFmtId="4" fontId="42" fillId="0" borderId="33" xfId="0" applyNumberFormat="1" applyFont="1" applyFill="1" applyBorder="1" applyAlignment="1">
      <alignment horizontal="right" vertical="center" wrapText="1"/>
    </xf>
    <xf numFmtId="3" fontId="41" fillId="0" borderId="33" xfId="0" applyNumberFormat="1" applyFont="1" applyFill="1" applyBorder="1" applyAlignment="1" applyProtection="1">
      <alignment horizontal="right" vertical="center"/>
      <protection locked="0"/>
    </xf>
    <xf numFmtId="3" fontId="41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41" fillId="0" borderId="54" xfId="0" applyNumberFormat="1" applyFont="1" applyFill="1" applyBorder="1" applyAlignment="1" applyProtection="1">
      <alignment horizontal="right" vertical="center"/>
      <protection locked="0"/>
    </xf>
    <xf numFmtId="3" fontId="41" fillId="0" borderId="54" xfId="0" applyNumberFormat="1" applyFont="1" applyFill="1" applyBorder="1" applyAlignment="1" applyProtection="1">
      <alignment horizontal="right" vertical="center" wrapText="1"/>
      <protection locked="0"/>
    </xf>
    <xf numFmtId="4" fontId="42" fillId="0" borderId="57" xfId="0" applyNumberFormat="1" applyFont="1" applyFill="1" applyBorder="1" applyAlignment="1">
      <alignment horizontal="right" vertical="center" wrapText="1"/>
    </xf>
    <xf numFmtId="164" fontId="42" fillId="0" borderId="35" xfId="0" applyNumberFormat="1" applyFont="1" applyFill="1" applyBorder="1" applyAlignment="1">
      <alignment vertical="center"/>
    </xf>
    <xf numFmtId="4" fontId="41" fillId="0" borderId="35" xfId="0" applyNumberFormat="1" applyFont="1" applyFill="1" applyBorder="1" applyAlignment="1" applyProtection="1">
      <alignment vertical="center" wrapText="1"/>
      <protection locked="0"/>
    </xf>
    <xf numFmtId="3" fontId="44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44" fillId="0" borderId="60" xfId="0" applyNumberFormat="1" applyFont="1" applyFill="1" applyBorder="1" applyAlignment="1" applyProtection="1">
      <alignment horizontal="right" vertical="center"/>
      <protection locked="0"/>
    </xf>
    <xf numFmtId="3" fontId="44" fillId="0" borderId="60" xfId="0" applyNumberFormat="1" applyFont="1" applyFill="1" applyBorder="1" applyAlignment="1" applyProtection="1">
      <alignment horizontal="right" vertical="center" wrapText="1"/>
      <protection locked="0"/>
    </xf>
    <xf numFmtId="3" fontId="44" fillId="0" borderId="51" xfId="0" applyNumberFormat="1" applyFont="1" applyFill="1" applyBorder="1" applyAlignment="1" applyProtection="1">
      <alignment horizontal="right" vertical="center" wrapText="1"/>
      <protection locked="0"/>
    </xf>
    <xf numFmtId="164" fontId="45" fillId="0" borderId="60" xfId="0" applyNumberFormat="1" applyFont="1" applyFill="1" applyBorder="1" applyAlignment="1" applyProtection="1">
      <alignment horizontal="right" vertical="center" wrapText="1"/>
    </xf>
    <xf numFmtId="4" fontId="45" fillId="0" borderId="51" xfId="0" applyNumberFormat="1" applyFont="1" applyFill="1" applyBorder="1" applyAlignment="1">
      <alignment horizontal="right" vertical="center" wrapText="1"/>
    </xf>
    <xf numFmtId="3" fontId="46" fillId="0" borderId="33" xfId="0" applyNumberFormat="1" applyFont="1" applyFill="1" applyBorder="1" applyAlignment="1" applyProtection="1">
      <alignment horizontal="right" vertical="center"/>
      <protection locked="0"/>
    </xf>
    <xf numFmtId="164" fontId="45" fillId="0" borderId="33" xfId="0" applyNumberFormat="1" applyFont="1" applyFill="1" applyBorder="1" applyAlignment="1" applyProtection="1">
      <alignment horizontal="right" vertical="center" wrapText="1"/>
    </xf>
    <xf numFmtId="4" fontId="45" fillId="0" borderId="3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 applyProtection="1">
      <alignment horizontal="right" vertical="center"/>
      <protection locked="0"/>
    </xf>
    <xf numFmtId="3" fontId="44" fillId="0" borderId="54" xfId="0" applyNumberFormat="1" applyFont="1" applyFill="1" applyBorder="1" applyAlignment="1" applyProtection="1">
      <alignment horizontal="right" vertical="center"/>
      <protection locked="0"/>
    </xf>
    <xf numFmtId="3" fontId="44" fillId="0" borderId="54" xfId="0" applyNumberFormat="1" applyFont="1" applyFill="1" applyBorder="1" applyAlignment="1" applyProtection="1">
      <alignment horizontal="right" vertical="center" wrapText="1"/>
      <protection locked="0"/>
    </xf>
    <xf numFmtId="4" fontId="45" fillId="0" borderId="57" xfId="0" applyNumberFormat="1" applyFont="1" applyFill="1" applyBorder="1" applyAlignment="1">
      <alignment horizontal="right" vertical="center" wrapText="1"/>
    </xf>
    <xf numFmtId="164" fontId="45" fillId="0" borderId="35" xfId="0" applyNumberFormat="1" applyFont="1" applyFill="1" applyBorder="1" applyAlignment="1">
      <alignment vertical="center"/>
    </xf>
    <xf numFmtId="4" fontId="44" fillId="0" borderId="35" xfId="0" applyNumberFormat="1" applyFont="1" applyFill="1" applyBorder="1" applyAlignment="1" applyProtection="1">
      <alignment vertical="center" wrapText="1"/>
      <protection locked="0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61" xfId="6" applyFont="1" applyFill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5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5" xfId="0" applyNumberFormat="1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 wrapText="1"/>
      <protection locked="0"/>
    </xf>
    <xf numFmtId="0" fontId="47" fillId="0" borderId="0" xfId="0" applyFont="1"/>
    <xf numFmtId="0" fontId="28" fillId="0" borderId="0" xfId="0" applyFont="1"/>
    <xf numFmtId="0" fontId="17" fillId="0" borderId="20" xfId="6" applyFont="1" applyFill="1" applyBorder="1" applyAlignment="1" applyProtection="1">
      <alignment horizontal="left" vertical="center" wrapText="1" indent="1"/>
    </xf>
    <xf numFmtId="0" fontId="10" fillId="0" borderId="0" xfId="6" applyFont="1" applyFill="1" applyProtection="1">
      <protection locked="0"/>
    </xf>
    <xf numFmtId="0" fontId="10" fillId="0" borderId="0" xfId="6" applyFont="1" applyFill="1" applyAlignment="1" applyProtection="1">
      <alignment horizontal="right" vertical="center" indent="1"/>
      <protection locked="0"/>
    </xf>
    <xf numFmtId="0" fontId="10" fillId="0" borderId="0" xfId="6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4" fontId="24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6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5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5" xfId="0" applyFont="1" applyFill="1" applyBorder="1" applyAlignment="1" applyProtection="1">
      <alignment horizontal="center" vertical="center" wrapText="1"/>
      <protection locked="0"/>
    </xf>
    <xf numFmtId="0" fontId="7" fillId="0" borderId="35" xfId="0" quotePrefix="1" applyFont="1" applyFill="1" applyBorder="1" applyAlignment="1" applyProtection="1">
      <alignment horizontal="right" vertical="center" indent="1"/>
      <protection locked="0"/>
    </xf>
    <xf numFmtId="49" fontId="7" fillId="0" borderId="35" xfId="0" applyNumberFormat="1" applyFont="1" applyFill="1" applyBorder="1" applyAlignment="1" applyProtection="1">
      <alignment horizontal="right" vertical="center" indent="1"/>
      <protection locked="0"/>
    </xf>
    <xf numFmtId="164" fontId="15" fillId="0" borderId="0" xfId="0" applyNumberFormat="1" applyFont="1" applyFill="1" applyAlignment="1" applyProtection="1">
      <alignment vertical="center" wrapText="1"/>
      <protection locked="0"/>
    </xf>
    <xf numFmtId="164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4" fontId="9" fillId="0" borderId="0" xfId="0" applyNumberFormat="1" applyFont="1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wrapText="1"/>
      <protection locked="0"/>
    </xf>
    <xf numFmtId="16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6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56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39" xfId="0" applyNumberFormat="1" applyFont="1" applyFill="1" applyBorder="1" applyAlignment="1" applyProtection="1">
      <alignment horizontal="centerContinuous" vertical="center" wrapText="1"/>
      <protection locked="0"/>
    </xf>
    <xf numFmtId="164" fontId="23" fillId="0" borderId="35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4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58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3" fillId="0" borderId="0" xfId="0" applyFont="1"/>
    <xf numFmtId="0" fontId="53" fillId="0" borderId="0" xfId="0" applyFont="1" applyAlignment="1">
      <alignment horizontal="justify" vertical="top" wrapText="1"/>
    </xf>
    <xf numFmtId="0" fontId="54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top" wrapText="1"/>
    </xf>
    <xf numFmtId="0" fontId="50" fillId="0" borderId="0" xfId="0" applyFont="1"/>
    <xf numFmtId="0" fontId="52" fillId="0" borderId="0" xfId="4" applyAlignment="1" applyProtection="1"/>
    <xf numFmtId="0" fontId="28" fillId="4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64" fontId="55" fillId="0" borderId="0" xfId="6" applyNumberFormat="1" applyFont="1" applyFill="1" applyAlignment="1" applyProtection="1">
      <alignment horizontal="right" vertical="center" indent="1"/>
    </xf>
    <xf numFmtId="164" fontId="56" fillId="0" borderId="0" xfId="0" applyNumberFormat="1" applyFont="1" applyFill="1" applyAlignment="1" applyProtection="1">
      <alignment horizontal="right" vertical="center" wrapText="1" indent="1"/>
    </xf>
    <xf numFmtId="0" fontId="57" fillId="0" borderId="0" xfId="0" applyFont="1"/>
    <xf numFmtId="0" fontId="48" fillId="0" borderId="0" xfId="0" applyFont="1" applyAlignment="1" applyProtection="1">
      <alignment horizontal="right" vertical="top"/>
      <protection locked="0"/>
    </xf>
    <xf numFmtId="0" fontId="26" fillId="4" borderId="0" xfId="0" applyFont="1" applyFill="1" applyProtection="1"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0" fillId="0" borderId="0" xfId="6" applyFont="1" applyFill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0" fontId="58" fillId="0" borderId="0" xfId="0" applyFont="1" applyAlignment="1">
      <alignment horizontal="center" vertical="top" wrapText="1"/>
    </xf>
    <xf numFmtId="0" fontId="51" fillId="0" borderId="0" xfId="0" applyFont="1" applyAlignment="1">
      <alignment horizontal="center"/>
    </xf>
    <xf numFmtId="0" fontId="18" fillId="4" borderId="0" xfId="0" applyFont="1" applyFill="1" applyAlignment="1">
      <alignment horizontal="center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0" borderId="0" xfId="0" applyFont="1" applyAlignment="1">
      <alignment horizontal="center"/>
    </xf>
    <xf numFmtId="0" fontId="47" fillId="0" borderId="0" xfId="6" applyFont="1" applyFill="1" applyAlignment="1" applyProtection="1">
      <alignment horizontal="right"/>
      <protection locked="0"/>
    </xf>
    <xf numFmtId="0" fontId="47" fillId="0" borderId="0" xfId="0" applyFont="1" applyAlignment="1" applyProtection="1">
      <alignment horizontal="right"/>
      <protection locked="0"/>
    </xf>
    <xf numFmtId="0" fontId="18" fillId="0" borderId="0" xfId="6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6" applyFont="1" applyFill="1" applyAlignment="1" applyProtection="1">
      <alignment horizontal="center" vertical="center"/>
      <protection locked="0"/>
    </xf>
    <xf numFmtId="164" fontId="29" fillId="0" borderId="22" xfId="6" applyNumberFormat="1" applyFont="1" applyFill="1" applyBorder="1" applyAlignment="1" applyProtection="1">
      <alignment horizontal="left" vertical="center"/>
    </xf>
    <xf numFmtId="0" fontId="7" fillId="0" borderId="15" xfId="6" applyFont="1" applyFill="1" applyBorder="1" applyAlignment="1" applyProtection="1">
      <alignment horizontal="center" vertical="center" wrapText="1"/>
    </xf>
    <xf numFmtId="0" fontId="7" fillId="0" borderId="30" xfId="6" applyFont="1" applyFill="1" applyBorder="1" applyAlignment="1" applyProtection="1">
      <alignment horizontal="center" vertical="center" wrapText="1"/>
    </xf>
    <xf numFmtId="0" fontId="7" fillId="0" borderId="16" xfId="6" applyFont="1" applyFill="1" applyBorder="1" applyAlignment="1" applyProtection="1">
      <alignment horizontal="center" vertical="center" wrapText="1"/>
    </xf>
    <xf numFmtId="0" fontId="7" fillId="0" borderId="23" xfId="6" applyFont="1" applyFill="1" applyBorder="1" applyAlignment="1" applyProtection="1">
      <alignment horizontal="center" vertical="center" wrapText="1"/>
    </xf>
    <xf numFmtId="0" fontId="7" fillId="0" borderId="63" xfId="6" applyFont="1" applyFill="1" applyBorder="1" applyAlignment="1" applyProtection="1">
      <alignment horizontal="center" vertical="center" wrapText="1"/>
    </xf>
    <xf numFmtId="0" fontId="7" fillId="0" borderId="4" xfId="6" applyFont="1" applyFill="1" applyBorder="1" applyAlignment="1" applyProtection="1">
      <alignment horizontal="center" vertical="center" wrapText="1"/>
    </xf>
    <xf numFmtId="0" fontId="7" fillId="0" borderId="37" xfId="6" applyFont="1" applyFill="1" applyBorder="1" applyAlignment="1" applyProtection="1">
      <alignment horizontal="center" vertical="center" wrapText="1"/>
    </xf>
    <xf numFmtId="0" fontId="18" fillId="0" borderId="0" xfId="6" applyFont="1" applyFill="1" applyAlignment="1" applyProtection="1">
      <alignment horizontal="center"/>
    </xf>
    <xf numFmtId="164" fontId="6" fillId="0" borderId="0" xfId="6" applyNumberFormat="1" applyFont="1" applyFill="1" applyBorder="1" applyAlignment="1" applyProtection="1">
      <alignment horizontal="center" vertical="center"/>
      <protection locked="0"/>
    </xf>
    <xf numFmtId="164" fontId="6" fillId="0" borderId="0" xfId="6" applyNumberFormat="1" applyFont="1" applyFill="1" applyBorder="1" applyAlignment="1" applyProtection="1">
      <alignment horizontal="center" vertical="center"/>
    </xf>
    <xf numFmtId="164" fontId="29" fillId="0" borderId="22" xfId="6" applyNumberFormat="1" applyFont="1" applyFill="1" applyBorder="1" applyAlignment="1" applyProtection="1">
      <alignment horizontal="left" vertical="center"/>
      <protection locked="0"/>
    </xf>
    <xf numFmtId="164" fontId="29" fillId="0" borderId="22" xfId="6" applyNumberFormat="1" applyFont="1" applyFill="1" applyBorder="1" applyAlignment="1" applyProtection="1">
      <alignment horizontal="left"/>
    </xf>
    <xf numFmtId="164" fontId="25" fillId="0" borderId="60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49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56" xfId="0" applyNumberFormat="1" applyFont="1" applyFill="1" applyBorder="1" applyAlignment="1" applyProtection="1">
      <alignment horizontal="center" vertical="center" wrapText="1"/>
    </xf>
    <xf numFmtId="164" fontId="47" fillId="0" borderId="0" xfId="0" applyNumberFormat="1" applyFont="1" applyFill="1" applyAlignment="1" applyProtection="1">
      <alignment horizontal="center" textRotation="180" wrapText="1"/>
      <protection locked="0"/>
    </xf>
    <xf numFmtId="164" fontId="18" fillId="0" borderId="0" xfId="0" applyNumberFormat="1" applyFont="1" applyFill="1" applyAlignment="1" applyProtection="1">
      <alignment horizontal="center" vertical="center" wrapText="1"/>
      <protection locked="0"/>
    </xf>
    <xf numFmtId="164" fontId="47" fillId="0" borderId="0" xfId="0" applyNumberFormat="1" applyFont="1" applyFill="1" applyAlignment="1" applyProtection="1">
      <alignment horizontal="right" vertical="center" wrapText="1"/>
      <protection locked="0"/>
    </xf>
    <xf numFmtId="0" fontId="47" fillId="0" borderId="0" xfId="0" applyFont="1" applyAlignment="1" applyProtection="1">
      <alignment horizontal="right" vertical="center" wrapText="1"/>
      <protection locked="0"/>
    </xf>
    <xf numFmtId="0" fontId="47" fillId="0" borderId="0" xfId="0" applyFont="1" applyFill="1" applyAlignment="1">
      <alignment horizontal="right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 applyProtection="1">
      <alignment horizontal="center"/>
      <protection locked="0"/>
    </xf>
    <xf numFmtId="164" fontId="16" fillId="0" borderId="35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Alignment="1" applyProtection="1">
      <alignment horizontal="left" vertical="center" wrapText="1"/>
      <protection locked="0"/>
    </xf>
    <xf numFmtId="164" fontId="16" fillId="0" borderId="35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7" fillId="0" borderId="35" xfId="0" applyNumberFormat="1" applyFont="1" applyFill="1" applyBorder="1" applyAlignment="1">
      <alignment horizontal="center" vertical="center" wrapText="1"/>
    </xf>
    <xf numFmtId="164" fontId="0" fillId="0" borderId="50" xfId="0" applyNumberFormat="1" applyFill="1" applyBorder="1" applyAlignment="1" applyProtection="1">
      <alignment horizontal="left" vertical="center" wrapText="1"/>
      <protection locked="0"/>
    </xf>
    <xf numFmtId="164" fontId="0" fillId="0" borderId="64" xfId="0" applyNumberFormat="1" applyFill="1" applyBorder="1" applyAlignment="1" applyProtection="1">
      <alignment horizontal="left" vertical="center" wrapText="1"/>
      <protection locked="0"/>
    </xf>
    <xf numFmtId="0" fontId="47" fillId="0" borderId="0" xfId="0" applyFont="1" applyFill="1" applyAlignment="1">
      <alignment horizontal="center" textRotation="180"/>
    </xf>
    <xf numFmtId="164" fontId="5" fillId="0" borderId="22" xfId="0" applyNumberFormat="1" applyFont="1" applyFill="1" applyBorder="1" applyAlignment="1" applyProtection="1">
      <alignment horizontal="right" vertical="center"/>
      <protection locked="0"/>
    </xf>
    <xf numFmtId="164" fontId="7" fillId="0" borderId="65" xfId="0" applyNumberFormat="1" applyFont="1" applyFill="1" applyBorder="1" applyAlignment="1">
      <alignment horizontal="center" vertical="center"/>
    </xf>
    <xf numFmtId="164" fontId="7" fillId="0" borderId="34" xfId="0" applyNumberFormat="1" applyFont="1" applyFill="1" applyBorder="1" applyAlignment="1">
      <alignment horizontal="center" vertical="center"/>
    </xf>
    <xf numFmtId="164" fontId="7" fillId="0" borderId="48" xfId="0" applyNumberFormat="1" applyFont="1" applyFill="1" applyBorder="1" applyAlignment="1">
      <alignment horizontal="center" vertical="center"/>
    </xf>
    <xf numFmtId="164" fontId="25" fillId="0" borderId="35" xfId="0" applyNumberFormat="1" applyFont="1" applyFill="1" applyBorder="1" applyAlignment="1">
      <alignment horizontal="center" vertical="center" wrapText="1"/>
    </xf>
    <xf numFmtId="164" fontId="7" fillId="0" borderId="60" xfId="0" applyNumberFormat="1" applyFont="1" applyFill="1" applyBorder="1" applyAlignment="1">
      <alignment horizontal="center" vertical="center" wrapText="1"/>
    </xf>
    <xf numFmtId="164" fontId="7" fillId="0" borderId="36" xfId="0" applyNumberFormat="1" applyFont="1" applyFill="1" applyBorder="1" applyAlignment="1">
      <alignment horizontal="center" vertical="center" wrapText="1"/>
    </xf>
    <xf numFmtId="164" fontId="26" fillId="0" borderId="55" xfId="0" applyNumberFormat="1" applyFont="1" applyFill="1" applyBorder="1" applyAlignment="1">
      <alignment horizontal="left" vertical="center" wrapText="1" indent="2"/>
    </xf>
    <xf numFmtId="164" fontId="26" fillId="0" borderId="58" xfId="0" applyNumberFormat="1" applyFont="1" applyFill="1" applyBorder="1" applyAlignment="1">
      <alignment horizontal="left" vertical="center" wrapText="1" indent="2"/>
    </xf>
    <xf numFmtId="164" fontId="0" fillId="0" borderId="66" xfId="0" applyNumberFormat="1" applyFill="1" applyBorder="1" applyAlignment="1" applyProtection="1">
      <alignment horizontal="left" vertical="center" wrapText="1"/>
      <protection locked="0"/>
    </xf>
    <xf numFmtId="164" fontId="0" fillId="0" borderId="67" xfId="0" applyNumberFormat="1" applyFill="1" applyBorder="1" applyAlignment="1" applyProtection="1">
      <alignment horizontal="left" vertical="center" wrapText="1"/>
      <protection locked="0"/>
    </xf>
    <xf numFmtId="164" fontId="26" fillId="0" borderId="55" xfId="0" applyNumberFormat="1" applyFont="1" applyFill="1" applyBorder="1" applyAlignment="1">
      <alignment horizontal="center" vertical="center" wrapText="1"/>
    </xf>
    <xf numFmtId="164" fontId="26" fillId="0" borderId="58" xfId="0" applyNumberFormat="1" applyFont="1" applyFill="1" applyBorder="1" applyAlignment="1">
      <alignment horizontal="center" vertical="center" wrapText="1"/>
    </xf>
    <xf numFmtId="165" fontId="39" fillId="0" borderId="56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35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5" xfId="0" applyFont="1" applyFill="1" applyBorder="1" applyAlignment="1" applyProtection="1">
      <alignment horizontal="center" vertical="center" wrapText="1"/>
    </xf>
    <xf numFmtId="0" fontId="7" fillId="0" borderId="58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48" fillId="0" borderId="22" xfId="0" applyFont="1" applyBorder="1" applyAlignment="1" applyProtection="1">
      <alignment horizontal="right" vertical="top"/>
      <protection locked="0"/>
    </xf>
    <xf numFmtId="0" fontId="34" fillId="0" borderId="22" xfId="0" applyFont="1" applyBorder="1" applyAlignment="1" applyProtection="1">
      <protection locked="0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58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49" fillId="0" borderId="22" xfId="0" applyFont="1" applyBorder="1" applyAlignment="1" applyProtection="1">
      <alignment horizontal="right" vertical="top"/>
      <protection locked="0"/>
    </xf>
    <xf numFmtId="0" fontId="10" fillId="0" borderId="22" xfId="0" applyFont="1" applyBorder="1" applyAlignment="1" applyProtection="1">
      <protection locked="0"/>
    </xf>
    <xf numFmtId="164" fontId="47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22" xfId="0" applyFont="1" applyBorder="1" applyAlignment="1" applyProtection="1">
      <alignment horizontal="right"/>
      <protection locked="0"/>
    </xf>
    <xf numFmtId="0" fontId="18" fillId="0" borderId="0" xfId="0" applyFont="1" applyFill="1" applyAlignment="1">
      <alignment horizontal="center" wrapText="1"/>
    </xf>
    <xf numFmtId="0" fontId="33" fillId="0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68" xfId="0" applyFont="1" applyFill="1" applyBorder="1" applyAlignment="1" applyProtection="1">
      <alignment horizontal="center"/>
      <protection locked="0"/>
    </xf>
    <xf numFmtId="0" fontId="0" fillId="0" borderId="68" xfId="0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</cellXfs>
  <cellStyles count="7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_KVRENMUNKA" xfId="6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34"/>
  <sheetViews>
    <sheetView zoomScale="120" zoomScaleNormal="120" workbookViewId="0">
      <selection activeCell="C18" sqref="C18"/>
    </sheetView>
  </sheetViews>
  <sheetFormatPr defaultRowHeight="12.75"/>
  <cols>
    <col min="1" max="1" width="28.5" customWidth="1"/>
    <col min="2" max="2" width="107.5" customWidth="1"/>
    <col min="3" max="3" width="32.6640625" customWidth="1"/>
  </cols>
  <sheetData>
    <row r="2" spans="1:3" ht="18.75">
      <c r="A2" s="471" t="s">
        <v>557</v>
      </c>
      <c r="B2" s="471"/>
      <c r="C2" s="471"/>
    </row>
    <row r="3" spans="1:3" ht="15">
      <c r="A3" s="455"/>
      <c r="B3" s="456"/>
      <c r="C3" s="455"/>
    </row>
    <row r="4" spans="1:3" ht="14.25">
      <c r="A4" s="457" t="s">
        <v>558</v>
      </c>
      <c r="B4" s="458" t="s">
        <v>559</v>
      </c>
      <c r="C4" s="457" t="s">
        <v>560</v>
      </c>
    </row>
    <row r="5" spans="1:3">
      <c r="A5" s="459"/>
      <c r="B5" s="459"/>
      <c r="C5" s="459"/>
    </row>
    <row r="6" spans="1:3" ht="18.75">
      <c r="A6" s="472" t="str">
        <f>CONCATENATE("IDŐKÖZI (",UPPER(IB_ALAPADATOK!C8)," BESZÁMOLÓ) TÁJÉKOZTATÓ")</f>
        <v>IDŐKÖZI (III. NEGYEDÉVES BESZÁMOLÓ) TÁJÉKOZTATÓ</v>
      </c>
      <c r="B6" s="472"/>
      <c r="C6" s="472"/>
    </row>
    <row r="7" spans="1:3">
      <c r="A7" s="459" t="s">
        <v>561</v>
      </c>
      <c r="B7" s="459" t="s">
        <v>562</v>
      </c>
      <c r="C7" s="460" t="str">
        <f ca="1">HYPERLINK(SUBSTITUTE(CELL("address",IB_ALAPADATOK!A1),"'",""),SUBSTITUTE(MID(CELL("address",IB_ALAPADATOK!A1),SEARCH("]",CELL("address",IB_ALAPADATOK!A1),1)+1,LEN(CELL("address",IB_ALAPADATOK!A1))-SEARCH("]",CELL("address",IB_ALAPADATOK!A1),1)),"'",""))</f>
        <v>IB_ALAPADATOK!$A$1</v>
      </c>
    </row>
    <row r="8" spans="1:3">
      <c r="A8" s="459" t="s">
        <v>563</v>
      </c>
      <c r="B8" s="459" t="s">
        <v>593</v>
      </c>
      <c r="C8" s="460" t="str">
        <f ca="1">HYPERLINK(SUBSTITUTE(CELL("address",IB_ÖSSZEFÜGGÉSEK!A1),"'",""),SUBSTITUTE(MID(CELL("address",IB_ÖSSZEFÜGGÉSEK!A1),SEARCH("]",CELL("address",IB_ÖSSZEFÜGGÉSEK!A1),1)+1,LEN(CELL("address",IB_ÖSSZEFÜGGÉSEK!A1))-SEARCH("]",CELL("address",IB_ÖSSZEFÜGGÉSEK!A1),1)),"'",""))</f>
        <v>IB_ÖSSZEFÜGGÉSEK!$A$1</v>
      </c>
    </row>
    <row r="9" spans="1:3">
      <c r="A9" s="459" t="s">
        <v>564</v>
      </c>
      <c r="B9" s="459" t="str">
        <f>CONCATENATE(_1.1.sz.mell.!A3)</f>
        <v>Tájékoztatató a 7/2019.(X.09.) évi költségvetés  III. negyedéves alakulásáról</v>
      </c>
      <c r="C9" s="460" t="str">
        <f ca="1">HYPERLINK(SUBSTITUTE(CELL("address",_1.1.sz.mell.!A1),"'",""),SUBSTITUTE(MID(CELL("address",_1.1.sz.mell.!A1),SEARCH("]",CELL("address",_1.1.sz.mell.!A1),1)+1,LEN(CELL("address",_1.1.sz.mell.!A1))-SEARCH("]",CELL("address",_1.1.sz.mell.!A1),1)),"'",""))</f>
        <v>_1.1.sz.mell.!$A$1</v>
      </c>
    </row>
    <row r="10" spans="1:3">
      <c r="A10" s="459" t="s">
        <v>565</v>
      </c>
      <c r="B10" s="459" t="str">
        <f>_1.2.sz.mell.!A3</f>
        <v>Tájékoztatató a 2019. évi költségvetés  I. féléves alakulásáról</v>
      </c>
      <c r="C10" s="460" t="str">
        <f ca="1">HYPERLINK(SUBSTITUTE(CELL("address",_1.2.sz.mell.!A1),"'",""),SUBSTITUTE(MID(CELL("address",_1.2.sz.mell.!A1),SEARCH("]",CELL("address",_1.2.sz.mell.!A1),1)+1,LEN(CELL("address",_1.2.sz.mell.!A1))-SEARCH("]",CELL("address",_1.2.sz.mell.!A1),1)),"'",""))</f>
        <v>_1.2.sz.mell.!$A$1</v>
      </c>
    </row>
    <row r="11" spans="1:3">
      <c r="A11" s="459" t="s">
        <v>566</v>
      </c>
      <c r="B11" s="459" t="str">
        <f>'1.3.sz.mell.'!A3</f>
        <v>Tájékoztatató a 7/2019.(X.09.) évi költségvetés  III. negyedéves alakulásáról</v>
      </c>
      <c r="C11" s="460" t="str">
        <f ca="1">HYPERLINK(SUBSTITUTE(CELL("address",'1.3.sz.mell.'!A1),"'",""),SUBSTITUTE(MID(CELL("address",'1.3.sz.mell.'!A1),SEARCH("]",CELL("address",'1.3.sz.mell.'!A1),1)+1,LEN(CELL("address",'1.3.sz.mell.'!A1))-SEARCH("]",CELL("address",'1.3.sz.mell.'!A1),1)),"'",""))</f>
        <v>1.3.sz.mell.!$A$1</v>
      </c>
    </row>
    <row r="12" spans="1:3">
      <c r="A12" s="459" t="s">
        <v>567</v>
      </c>
      <c r="B12" s="459" t="str">
        <f>'1.4.sz.mell.'!A3</f>
        <v>Tájékoztatató a 7/2019.(X.09.) évi költségvetés  III. negyedéves alakulásáról</v>
      </c>
      <c r="C12" s="460" t="str">
        <f ca="1">HYPERLINK(SUBSTITUTE(CELL("address",'1.4.sz.mell.'!A1),"'",""),SUBSTITUTE(MID(CELL("address",'1.4.sz.mell.'!A1),SEARCH("]",CELL("address",'1.4.sz.mell.'!A1),1)+1,LEN(CELL("address",'1.4.sz.mell.'!A1))-SEARCH("]",CELL("address",'1.4.sz.mell.'!A1),1)),"'",""))</f>
        <v>1.4.sz.mell.!$A$1</v>
      </c>
    </row>
    <row r="13" spans="1:3">
      <c r="A13" s="459" t="s">
        <v>541</v>
      </c>
      <c r="B13" s="459" t="s">
        <v>587</v>
      </c>
      <c r="C13" s="460" t="str">
        <f ca="1">HYPERLINK(SUBSTITUTE(CELL("address",'2.1.sz.mell'!A1),"'",""),SUBSTITUTE(MID(CELL("address",'2.1.sz.mell'!A1),SEARCH("]",CELL("address",'2.1.sz.mell'!A1),1)+1,LEN(CELL("address",'2.1.sz.mell'!A1))-SEARCH("]",CELL("address",'2.1.sz.mell'!A1),1)),"'",""))</f>
        <v>2.1.sz.mell!$A$1</v>
      </c>
    </row>
    <row r="14" spans="1:3">
      <c r="A14" s="459" t="s">
        <v>443</v>
      </c>
      <c r="B14" s="459" t="s">
        <v>588</v>
      </c>
      <c r="C14" s="460" t="str">
        <f ca="1">HYPERLINK(SUBSTITUTE(CELL("address",'2.2.sz.mell'!A1),"'",""),SUBSTITUTE(MID(CELL("address",'2.2.sz.mell'!A1),SEARCH("]",CELL("address",'2.2.sz.mell'!A1),1)+1,LEN(CELL("address",'2.2.sz.mell'!A1))-SEARCH("]",CELL("address",'2.2.sz.mell'!A1),1)),"'",""))</f>
        <v>2.2.sz.mell!$A$1</v>
      </c>
    </row>
    <row r="15" spans="1:3">
      <c r="A15" s="459" t="s">
        <v>568</v>
      </c>
      <c r="B15" s="459" t="s">
        <v>569</v>
      </c>
      <c r="C15" s="460" t="str">
        <f ca="1">HYPERLINK(SUBSTITUTE(CELL("address",IB_ELLENŐRZÉS!A1),"'",""),SUBSTITUTE(MID(CELL("address",IB_ELLENŐRZÉS!A1),SEARCH("]",CELL("address",IB_ELLENŐRZÉS!A1),1)+1,LEN(CELL("address",IB_ELLENŐRZÉS!A1))-SEARCH("]",CELL("address",IB_ELLENŐRZÉS!A1),1)),"'",""))</f>
        <v>IB_ELLENŐRZÉS!$A$1</v>
      </c>
    </row>
    <row r="16" spans="1:3">
      <c r="A16" s="459" t="s">
        <v>570</v>
      </c>
      <c r="B16" s="459" t="s">
        <v>0</v>
      </c>
      <c r="C16" s="460" t="str">
        <f ca="1">HYPERLINK(SUBSTITUTE(CELL("address",IB_3.sz.mell.!A1),"'",""),SUBSTITUTE(MID(CELL("address",IB_3.sz.mell.!A1),SEARCH("]",CELL("address",IB_3.sz.mell.!A1),1)+1,LEN(CELL("address",IB_3.sz.mell.!A1))-SEARCH("]",CELL("address",IB_3.sz.mell.!A1),1)),"'",""))</f>
        <v>IB_3.sz.mell.!$A$1</v>
      </c>
    </row>
    <row r="17" spans="1:3">
      <c r="A17" s="459" t="s">
        <v>571</v>
      </c>
      <c r="B17" s="459" t="s">
        <v>1</v>
      </c>
      <c r="C17" s="460" t="str">
        <f ca="1">HYPERLINK(SUBSTITUTE(CELL("address",IB_4.sz.mell.!A1),"'",""),SUBSTITUTE(MID(CELL("address",IB_4.sz.mell.!A1),SEARCH("]",CELL("address",IB_4.sz.mell.!A1),1)+1,LEN(CELL("address",IB_4.sz.mell.!A1))-SEARCH("]",CELL("address",IB_4.sz.mell.!A1),1)),"'",""))</f>
        <v>IB_4.sz.mell.!$A$1</v>
      </c>
    </row>
    <row r="18" spans="1:3">
      <c r="A18" s="459" t="s">
        <v>586</v>
      </c>
      <c r="B18" s="459" t="str">
        <f>IB_5.sz.mell.!A2</f>
        <v>Európai uniós támogatással megvalósuló projektek</v>
      </c>
      <c r="C18" s="460" t="str">
        <f ca="1">HYPERLINK(SUBSTITUTE(CELL("address",IB_5.sz.mell.!A1),"'",""),SUBSTITUTE(MID(CELL("address",IB_5.sz.mell.!A1),SEARCH("]",CELL("address",IB_5.sz.mell.!A1),1)+1,LEN(CELL("address",IB_5.sz.mell.!A1))-SEARCH("]",CELL("address",IB_5.sz.mell.!A1),1)),"'",""))</f>
        <v>IB_5.sz.mell.!$A$1</v>
      </c>
    </row>
    <row r="19" spans="1:3">
      <c r="A19" s="459" t="s">
        <v>572</v>
      </c>
      <c r="B19" s="459" t="s">
        <v>590</v>
      </c>
      <c r="C19" s="460" t="str">
        <f ca="1">HYPERLINK(SUBSTITUTE(CELL("address",'9.1.sz.mell'!A1),"'",""),SUBSTITUTE(MID(CELL("address",'9.1.sz.mell'!A1),SEARCH("]",CELL("address",'9.1.sz.mell'!A1),1)+1,LEN(CELL("address",'9.1.sz.mell'!A1))-SEARCH("]",CELL("address",'9.1.sz.mell'!A1),1)),"'",""))</f>
        <v>9.1.sz.mell!$A$1</v>
      </c>
    </row>
    <row r="20" spans="1:3">
      <c r="A20" s="459" t="s">
        <v>477</v>
      </c>
      <c r="B20" s="459" t="s">
        <v>591</v>
      </c>
      <c r="C20" s="460" t="str">
        <f ca="1">HYPERLINK(SUBSTITUTE(CELL("address",'9.1.1.sz.mell'!A1),"'",""),SUBSTITUTE(MID(CELL("address",'9.1.1.sz.mell'!A1),SEARCH("]",CELL("address",'9.1.1.sz.mell'!A1),1)+1,LEN(CELL("address",'9.1.1.sz.mell'!A1))-SEARCH("]",CELL("address",'9.1.1.sz.mell'!A1),1)),"'",""))</f>
        <v>9.1.1.sz.mell!$A$1</v>
      </c>
    </row>
    <row r="21" spans="1:3">
      <c r="A21" s="459" t="s">
        <v>478</v>
      </c>
      <c r="B21" s="459" t="s">
        <v>339</v>
      </c>
      <c r="C21" s="460" t="str">
        <f ca="1">HYPERLINK(SUBSTITUTE(CELL("address",'9.1.2.sz.mell'!A1),"'",""),SUBSTITUTE(MID(CELL("address",'9.1.2.sz.mell'!A1),SEARCH("]",CELL("address",'9.1.2.sz.mell'!A1),1)+1,LEN(CELL("address",'9.1.2.sz.mell'!A1))-SEARCH("]",CELL("address",'9.1.2.sz.mell'!A1),1)),"'",""))</f>
        <v>9.1.2.sz.mell!$A$1</v>
      </c>
    </row>
    <row r="22" spans="1:3">
      <c r="A22" s="459" t="s">
        <v>573</v>
      </c>
      <c r="B22" s="459" t="s">
        <v>592</v>
      </c>
      <c r="C22" s="460" t="str">
        <f ca="1">HYPERLINK(SUBSTITUTE(CELL("address",'9.1.3.sz.mell'!A1),"'",""),SUBSTITUTE(MID(CELL("address",'9.1.3.sz.mell'!A1),SEARCH("]",CELL("address",'9.1.3.sz.mell'!A1),1)+1,LEN(CELL("address",'9.1.3.sz.mell'!A1))-SEARCH("]",CELL("address",'9.1.3.sz.mell'!A1),1)),"'",""))</f>
        <v>9.1.3.sz.mell!$A$1</v>
      </c>
    </row>
    <row r="23" spans="1:3">
      <c r="A23" s="459" t="s">
        <v>574</v>
      </c>
      <c r="B23" s="459" t="str">
        <f>IB_ALAPADATOK!A11</f>
        <v>Borsodnádasdi Polgármesteri  Hivatal</v>
      </c>
      <c r="C23" s="460" t="str">
        <f ca="1">HYPERLINK(SUBSTITUTE(CELL("address",'9.2.sz.mell'!A1),"'",""),SUBSTITUTE(MID(CELL("address",'9.2.sz.mell'!A1),SEARCH("]",CELL("address",'9.2.sz.mell'!A1),1)+1,LEN(CELL("address",'9.2.sz.mell'!A1))-SEARCH("]",CELL("address",'9.2.sz.mell'!A1),1)),"'",""))</f>
        <v>9.2.sz.mell!$A$1</v>
      </c>
    </row>
    <row r="24" spans="1:3">
      <c r="A24" s="459" t="s">
        <v>575</v>
      </c>
      <c r="B24" s="459" t="str">
        <f>IB_ALAPADATOK!B13</f>
        <v>1 kvi név</v>
      </c>
      <c r="C24" s="460" t="str">
        <f ca="1">HYPERLINK(SUBSTITUTE(CELL("address",IB_9.3.sz.mell!A1),"'",""),SUBSTITUTE(MID(CELL("address",IB_9.3.sz.mell!A1),SEARCH("]",CELL("address",IB_9.3.sz.mell!A1),1)+1,LEN(CELL("address",IB_9.3.sz.mell!A1))-SEARCH("]",CELL("address",IB_9.3.sz.mell!A1),1)),"'",""))</f>
        <v>IB_9.3.sz.mell!$A$1</v>
      </c>
    </row>
    <row r="25" spans="1:3">
      <c r="A25" s="459" t="s">
        <v>576</v>
      </c>
      <c r="B25" s="459" t="str">
        <f>IB_ALAPADATOK!B15</f>
        <v>2 kvi név</v>
      </c>
      <c r="C25" s="460" t="str">
        <f ca="1">HYPERLINK(SUBSTITUTE(CELL("address",'9.4.sz.mell'!A1),"'",""),SUBSTITUTE(MID(CELL("address",'9.4.sz.mell'!A1),SEARCH("]",CELL("address",'9.4.sz.mell'!A1),1)+1,LEN(CELL("address",'9.4.sz.mell'!A1))-SEARCH("]",CELL("address",'9.4.sz.mell'!A1),1)),"'",""))</f>
        <v>9.4.sz.mell!$A$1</v>
      </c>
    </row>
    <row r="26" spans="1:3">
      <c r="A26" s="459" t="s">
        <v>577</v>
      </c>
      <c r="B26" s="459" t="str">
        <f>IB_ALAPADATOK!B17</f>
        <v>3 kvi név</v>
      </c>
      <c r="C26" s="460" t="str">
        <f ca="1">HYPERLINK(SUBSTITUTE(CELL("address",'9.5.sz.mell'!A1),"'",""),SUBSTITUTE(MID(CELL("address",'9.5.sz.mell'!A1),SEARCH("]",CELL("address",'9.5.sz.mell'!A1),1)+1,LEN(CELL("address",'9.5.sz.mell'!A1))-SEARCH("]",CELL("address",'9.5.sz.mell'!A1),1)),"'",""))</f>
        <v>9.5.sz.mell!$A$1</v>
      </c>
    </row>
    <row r="27" spans="1:3">
      <c r="A27" s="459" t="s">
        <v>578</v>
      </c>
      <c r="B27" s="459" t="str">
        <f>IB_ALAPADATOK!B19</f>
        <v>4 kvi név</v>
      </c>
      <c r="C27" s="460" t="str">
        <f ca="1">HYPERLINK(SUBSTITUTE(CELL("address",IB_6.6.sz.mell!A1),"'",""),SUBSTITUTE(MID(CELL("address",IB_6.6.sz.mell!A1),SEARCH("]",CELL("address",IB_6.6.sz.mell!A1),1)+1,LEN(CELL("address",IB_6.6.sz.mell!A1))-SEARCH("]",CELL("address",IB_6.6.sz.mell!A1),1)),"'",""))</f>
        <v>IB_6.6.sz.mell!$A$1</v>
      </c>
    </row>
    <row r="28" spans="1:3">
      <c r="A28" s="459" t="s">
        <v>579</v>
      </c>
      <c r="B28" s="459" t="str">
        <f>IB_ALAPADATOK!B21</f>
        <v>Borsodnádasdi Közösségi Ház és Könyvtár</v>
      </c>
      <c r="C28" s="460" t="str">
        <f ca="1">HYPERLINK(SUBSTITUTE(CELL("address",IB_6.7.sz.mell!A1),"'",""),SUBSTITUTE(MID(CELL("address",IB_6.7.sz.mell!A1),SEARCH("]",CELL("address",IB_6.7.sz.mell!A1),1)+1,LEN(CELL("address",IB_6.7.sz.mell!A1))-SEARCH("]",CELL("address",IB_6.7.sz.mell!A1),1)),"'",""))</f>
        <v>IB_6.7.sz.mell!$A$1</v>
      </c>
    </row>
    <row r="29" spans="1:3">
      <c r="A29" s="459" t="s">
        <v>580</v>
      </c>
      <c r="B29" s="459" t="str">
        <f>IB_ALAPADATOK!B23</f>
        <v>6 kvi név</v>
      </c>
      <c r="C29" s="460" t="str">
        <f ca="1">HYPERLINK(SUBSTITUTE(CELL("address",IB_6.8.sz.mell!A1),"'",""),SUBSTITUTE(MID(CELL("address",IB_6.8.sz.mell!A1),SEARCH("]",CELL("address",IB_6.8.sz.mell!A1),1)+1,LEN(CELL("address",IB_6.8.sz.mell!A1))-SEARCH("]",CELL("address",IB_6.8.sz.mell!A1),1)),"'",""))</f>
        <v>IB_6.8.sz.mell!$A$1</v>
      </c>
    </row>
    <row r="30" spans="1:3">
      <c r="A30" s="459" t="s">
        <v>581</v>
      </c>
      <c r="B30" s="459">
        <f>IB_ALAPADATOK!B25</f>
        <v>0</v>
      </c>
      <c r="C30" s="460" t="str">
        <f ca="1">HYPERLINK(SUBSTITUTE(CELL("address",IB_6.9.sz.mell!A1),"'",""),SUBSTITUTE(MID(CELL("address",IB_6.9.sz.mell!A1),SEARCH("]",CELL("address",IB_6.9.sz.mell!A1),1)+1,LEN(CELL("address",IB_6.9.sz.mell!A1))-SEARCH("]",CELL("address",IB_6.9.sz.mell!A1),1)),"'",""))</f>
        <v>IB_6.9.sz.mell!$A$1</v>
      </c>
    </row>
    <row r="31" spans="1:3">
      <c r="A31" s="459" t="s">
        <v>582</v>
      </c>
      <c r="B31" s="459" t="str">
        <f>IB_ALAPADATOK!B27</f>
        <v>8 kvi név</v>
      </c>
      <c r="C31" s="460" t="str">
        <f ca="1">HYPERLINK(SUBSTITUTE(CELL("address",IB_6.10.sz.mell!A1),"'",""),SUBSTITUTE(MID(CELL("address",IB_6.10.sz.mell!A1),SEARCH("]",CELL("address",IB_6.10.sz.mell!A1),1)+1,LEN(CELL("address",IB_6.10.sz.mell!A1))-SEARCH("]",CELL("address",IB_6.10.sz.mell!A1),1)),"'",""))</f>
        <v>IB_6.10.sz.mell!$A$1</v>
      </c>
    </row>
    <row r="32" spans="1:3">
      <c r="A32" s="459" t="s">
        <v>583</v>
      </c>
      <c r="B32" s="459" t="str">
        <f>IB_ALAPADATOK!B29</f>
        <v>9 kvi név</v>
      </c>
      <c r="C32" s="460" t="str">
        <f ca="1">HYPERLINK(SUBSTITUTE(CELL("address",IB_6.11.sz.mell!A1),"'",""),SUBSTITUTE(MID(CELL("address",IB_6.11.sz.mell!A1),SEARCH("]",CELL("address",IB_6.11.sz.mell!A1),1)+1,LEN(CELL("address",IB_6.11.sz.mell!A1))-SEARCH("]",CELL("address",IB_6.11.sz.mell!A1),1)),"'",""))</f>
        <v>IB_6.11.sz.mell!$A$1</v>
      </c>
    </row>
    <row r="33" spans="1:3">
      <c r="A33" s="459" t="s">
        <v>584</v>
      </c>
      <c r="B33" s="459" t="str">
        <f>IB_ALAPADATOK!B31</f>
        <v>10 kvi név</v>
      </c>
      <c r="C33" s="460" t="str">
        <f ca="1">HYPERLINK(SUBSTITUTE(CELL("address",IB_6.12.sz.mell!A1),"'",""),SUBSTITUTE(MID(CELL("address",IB_6.12.sz.mell!A1),SEARCH("]",CELL("address",IB_6.12.sz.mell!A1),1)+1,LEN(CELL("address",IB_6.12.sz.mell!A1))-SEARCH("]",CELL("address",IB_6.12.sz.mell!A1),1)),"'",""))</f>
        <v>IB_6.12.sz.mell!$A$1</v>
      </c>
    </row>
    <row r="34" spans="1:3">
      <c r="A34" s="459" t="s">
        <v>585</v>
      </c>
      <c r="B34" t="str">
        <f>'10.sz.mell.'!A3</f>
        <v>Adatszolgáltatás 
az elismert tartozásállományról</v>
      </c>
      <c r="C34" s="460" t="str">
        <f ca="1">HYPERLINK(SUBSTITUTE(CELL("address",'10.sz.mell.'!A1),"'",""),SUBSTITUTE(MID(CELL("address",'10.sz.mell.'!A1),SEARCH("]",CELL("address",'10.sz.mell.'!A1),1)+1,LEN(CELL("address",'10.sz.mell.'!A1))-SEARCH("]",CELL("address",'10.sz.mell.'!A1),1)),"'",""))</f>
        <v>10.sz.mell.!$A$1</v>
      </c>
    </row>
  </sheetData>
  <sheetProtection sheet="1"/>
  <mergeCells count="2">
    <mergeCell ref="A2:C2"/>
    <mergeCell ref="A6:C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="120" zoomScaleNormal="120" workbookViewId="0">
      <selection activeCell="E28" sqref="E28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96" t="s">
        <v>105</v>
      </c>
      <c r="B1" s="90"/>
      <c r="C1" s="90"/>
      <c r="D1" s="90"/>
      <c r="E1" s="297" t="s">
        <v>109</v>
      </c>
    </row>
    <row r="2" spans="1:5">
      <c r="A2" s="90"/>
      <c r="B2" s="90"/>
      <c r="C2" s="90"/>
      <c r="D2" s="90"/>
      <c r="E2" s="90"/>
    </row>
    <row r="3" spans="1:5">
      <c r="A3" s="298"/>
      <c r="B3" s="299"/>
      <c r="C3" s="298"/>
      <c r="D3" s="300"/>
      <c r="E3" s="299"/>
    </row>
    <row r="4" spans="1:5" ht="15.75">
      <c r="A4" s="92" t="str">
        <f>+IB_ÖSSZEFÜGGÉSEK!A6</f>
        <v>2019. évi eredeti előirányzat BEVÉTELEK</v>
      </c>
      <c r="B4" s="301"/>
      <c r="C4" s="302"/>
      <c r="D4" s="300"/>
      <c r="E4" s="299"/>
    </row>
    <row r="5" spans="1:5">
      <c r="A5" s="298"/>
      <c r="B5" s="299"/>
      <c r="C5" s="298"/>
      <c r="D5" s="300"/>
      <c r="E5" s="299"/>
    </row>
    <row r="6" spans="1:5">
      <c r="A6" s="298" t="s">
        <v>482</v>
      </c>
      <c r="B6" s="299">
        <f>+_1.1.sz.mell.!C68</f>
        <v>388354306</v>
      </c>
      <c r="C6" s="298" t="s">
        <v>444</v>
      </c>
      <c r="D6" s="300">
        <f>+'2.1.sz.mell'!C18+'2.2.sz.mell'!C17</f>
        <v>388354306</v>
      </c>
      <c r="E6" s="299">
        <f>+B6-D6</f>
        <v>0</v>
      </c>
    </row>
    <row r="7" spans="1:5">
      <c r="A7" s="298" t="s">
        <v>498</v>
      </c>
      <c r="B7" s="299">
        <f>+_1.1.sz.mell.!C92</f>
        <v>747888694</v>
      </c>
      <c r="C7" s="298" t="s">
        <v>450</v>
      </c>
      <c r="D7" s="300">
        <f>+'2.1.sz.mell'!C29+'2.2.sz.mell'!C30</f>
        <v>747888694</v>
      </c>
      <c r="E7" s="299">
        <f>+B7-D7</f>
        <v>0</v>
      </c>
    </row>
    <row r="8" spans="1:5">
      <c r="A8" s="298" t="s">
        <v>499</v>
      </c>
      <c r="B8" s="299">
        <f>+_1.1.sz.mell.!C93</f>
        <v>1136243000</v>
      </c>
      <c r="C8" s="298" t="s">
        <v>451</v>
      </c>
      <c r="D8" s="300">
        <f>+'2.1.sz.mell'!C30+'2.2.sz.mell'!C31</f>
        <v>1136243000</v>
      </c>
      <c r="E8" s="299">
        <f>+B8-D8</f>
        <v>0</v>
      </c>
    </row>
    <row r="9" spans="1:5">
      <c r="A9" s="298"/>
      <c r="B9" s="299"/>
      <c r="C9" s="298"/>
      <c r="D9" s="300"/>
      <c r="E9" s="299"/>
    </row>
    <row r="10" spans="1:5" ht="15.75">
      <c r="A10" s="92" t="str">
        <f>+IB_ÖSSZEFÜGGÉSEK!A13</f>
        <v>2019. évi módosított előirányzat BEVÉTELEK</v>
      </c>
      <c r="B10" s="301"/>
      <c r="C10" s="302"/>
      <c r="D10" s="300"/>
      <c r="E10" s="299"/>
    </row>
    <row r="11" spans="1:5">
      <c r="A11" s="298"/>
      <c r="B11" s="299"/>
      <c r="C11" s="298"/>
      <c r="D11" s="300"/>
      <c r="E11" s="299"/>
    </row>
    <row r="12" spans="1:5">
      <c r="A12" s="298" t="s">
        <v>483</v>
      </c>
      <c r="B12" s="299">
        <f>+_1.1.sz.mell.!D68</f>
        <v>1439843397</v>
      </c>
      <c r="C12" s="298" t="s">
        <v>445</v>
      </c>
      <c r="D12" s="300">
        <f>+'2.1.sz.mell'!D18+'2.2.sz.mell'!D17</f>
        <v>1439843397</v>
      </c>
      <c r="E12" s="299">
        <f>+B12-D12</f>
        <v>0</v>
      </c>
    </row>
    <row r="13" spans="1:5">
      <c r="A13" s="298" t="s">
        <v>484</v>
      </c>
      <c r="B13" s="299">
        <f>+_1.1.sz.mell.!D92</f>
        <v>1313786630</v>
      </c>
      <c r="C13" s="298" t="s">
        <v>452</v>
      </c>
      <c r="D13" s="300">
        <f>+'2.1.sz.mell'!D29+'2.2.sz.mell'!D30</f>
        <v>1313786630</v>
      </c>
      <c r="E13" s="299">
        <f>+B13-D13</f>
        <v>0</v>
      </c>
    </row>
    <row r="14" spans="1:5">
      <c r="A14" s="298" t="s">
        <v>485</v>
      </c>
      <c r="B14" s="299">
        <f>+_1.1.sz.mell.!D93</f>
        <v>2753630027</v>
      </c>
      <c r="C14" s="298" t="s">
        <v>453</v>
      </c>
      <c r="D14" s="300">
        <f>+'2.1.sz.mell'!D30+'2.2.sz.mell'!D31</f>
        <v>2753630027</v>
      </c>
      <c r="E14" s="299">
        <f>+B14-D14</f>
        <v>0</v>
      </c>
    </row>
    <row r="15" spans="1:5">
      <c r="A15" s="298"/>
      <c r="B15" s="299"/>
      <c r="C15" s="298"/>
      <c r="D15" s="300"/>
      <c r="E15" s="299"/>
    </row>
    <row r="16" spans="1:5" ht="14.25">
      <c r="A16" s="303" t="str">
        <f>+IB_ÖSSZEFÜGGÉSEK!A19</f>
        <v>2019. I. félévi (I-II. negyedévi) teljesítés BEVÉTELEK</v>
      </c>
      <c r="B16" s="91"/>
      <c r="C16" s="302"/>
      <c r="D16" s="300"/>
      <c r="E16" s="299"/>
    </row>
    <row r="17" spans="1:5">
      <c r="A17" s="298"/>
      <c r="B17" s="299"/>
      <c r="C17" s="298"/>
      <c r="D17" s="300"/>
      <c r="E17" s="299"/>
    </row>
    <row r="18" spans="1:5">
      <c r="A18" s="298" t="s">
        <v>486</v>
      </c>
      <c r="B18" s="299">
        <f>+_1.1.sz.mell.!E68</f>
        <v>1252327948</v>
      </c>
      <c r="C18" s="298" t="s">
        <v>446</v>
      </c>
      <c r="D18" s="300">
        <f>+'2.1.sz.mell'!E18+'2.2.sz.mell'!E17</f>
        <v>1252327948</v>
      </c>
      <c r="E18" s="299">
        <f>+B18-D18</f>
        <v>0</v>
      </c>
    </row>
    <row r="19" spans="1:5">
      <c r="A19" s="298" t="s">
        <v>487</v>
      </c>
      <c r="B19" s="299">
        <f>+_1.1.sz.mell.!E92</f>
        <v>1313786630</v>
      </c>
      <c r="C19" s="298" t="s">
        <v>454</v>
      </c>
      <c r="D19" s="300">
        <f>+'2.1.sz.mell'!E29+'2.2.sz.mell'!E30</f>
        <v>1313786630</v>
      </c>
      <c r="E19" s="299">
        <f>+B19-D19</f>
        <v>0</v>
      </c>
    </row>
    <row r="20" spans="1:5">
      <c r="A20" s="298" t="s">
        <v>488</v>
      </c>
      <c r="B20" s="299">
        <f>+_1.1.sz.mell.!E93</f>
        <v>2566114578</v>
      </c>
      <c r="C20" s="298" t="s">
        <v>455</v>
      </c>
      <c r="D20" s="300">
        <f>+'2.1.sz.mell'!E30+'2.2.sz.mell'!E31</f>
        <v>2566114578</v>
      </c>
      <c r="E20" s="299">
        <f>+B20-D20</f>
        <v>0</v>
      </c>
    </row>
    <row r="21" spans="1:5">
      <c r="A21" s="298"/>
      <c r="B21" s="299"/>
      <c r="C21" s="298"/>
      <c r="D21" s="300"/>
      <c r="E21" s="299"/>
    </row>
    <row r="22" spans="1:5" ht="15.75">
      <c r="A22" s="92" t="str">
        <f>+IB_ÖSSZEFÜGGÉSEK!A25</f>
        <v>2019. évi eredeti előirányzat KIADÁSOK</v>
      </c>
      <c r="B22" s="301"/>
      <c r="C22" s="302"/>
      <c r="D22" s="300"/>
      <c r="E22" s="299"/>
    </row>
    <row r="23" spans="1:5">
      <c r="A23" s="298"/>
      <c r="B23" s="299"/>
      <c r="C23" s="298"/>
      <c r="D23" s="300"/>
      <c r="E23" s="299"/>
    </row>
    <row r="24" spans="1:5">
      <c r="A24" s="298" t="s">
        <v>500</v>
      </c>
      <c r="B24" s="299">
        <f>+_1.1.sz.mell.!C135</f>
        <v>1131660073</v>
      </c>
      <c r="C24" s="298" t="s">
        <v>447</v>
      </c>
      <c r="D24" s="300">
        <f>+'2.1.sz.mell'!G18+'2.2.sz.mell'!G17</f>
        <v>1131660073</v>
      </c>
      <c r="E24" s="299">
        <f>+B24-D24</f>
        <v>0</v>
      </c>
    </row>
    <row r="25" spans="1:5">
      <c r="A25" s="298" t="s">
        <v>490</v>
      </c>
      <c r="B25" s="299">
        <f>+_1.1.sz.mell.!C160</f>
        <v>4582927</v>
      </c>
      <c r="C25" s="298" t="s">
        <v>456</v>
      </c>
      <c r="D25" s="300">
        <f>+'2.1.sz.mell'!G29+'2.2.sz.mell'!G30</f>
        <v>4582927</v>
      </c>
      <c r="E25" s="299">
        <f>+B25-D25</f>
        <v>0</v>
      </c>
    </row>
    <row r="26" spans="1:5">
      <c r="A26" s="298" t="s">
        <v>491</v>
      </c>
      <c r="B26" s="299">
        <f>+_1.1.sz.mell.!C161</f>
        <v>1136243000</v>
      </c>
      <c r="C26" s="298" t="s">
        <v>457</v>
      </c>
      <c r="D26" s="300">
        <f>+'2.1.sz.mell'!G30+'2.2.sz.mell'!G31</f>
        <v>1136243000</v>
      </c>
      <c r="E26" s="299">
        <f>+B26-D26</f>
        <v>0</v>
      </c>
    </row>
    <row r="27" spans="1:5">
      <c r="A27" s="298"/>
      <c r="B27" s="299"/>
      <c r="C27" s="298"/>
      <c r="D27" s="300"/>
      <c r="E27" s="299"/>
    </row>
    <row r="28" spans="1:5" ht="15.75">
      <c r="A28" s="92" t="str">
        <f>+IB_ÖSSZEFÜGGÉSEK!A31</f>
        <v>2019. évi módosított előirányzat KIADÁSOK</v>
      </c>
      <c r="B28" s="301"/>
      <c r="C28" s="302"/>
      <c r="D28" s="300"/>
      <c r="E28" s="299"/>
    </row>
    <row r="29" spans="1:5">
      <c r="A29" s="298"/>
      <c r="B29" s="299"/>
      <c r="C29" s="298"/>
      <c r="D29" s="300"/>
      <c r="E29" s="299"/>
    </row>
    <row r="30" spans="1:5">
      <c r="A30" s="298" t="s">
        <v>492</v>
      </c>
      <c r="B30" s="299">
        <f>+_1.1.sz.mell.!D135</f>
        <v>2742159054</v>
      </c>
      <c r="C30" s="298" t="s">
        <v>448</v>
      </c>
      <c r="D30" s="300">
        <f>+'2.1.sz.mell'!H18+'2.2.sz.mell'!H17</f>
        <v>2742159054</v>
      </c>
      <c r="E30" s="299">
        <f>+B30-D30</f>
        <v>0</v>
      </c>
    </row>
    <row r="31" spans="1:5">
      <c r="A31" s="298" t="s">
        <v>493</v>
      </c>
      <c r="B31" s="299">
        <f>+_1.1.sz.mell.!D160</f>
        <v>11470973</v>
      </c>
      <c r="C31" s="298" t="s">
        <v>458</v>
      </c>
      <c r="D31" s="300">
        <f>+'2.1.sz.mell'!H29+'2.2.sz.mell'!H30</f>
        <v>11470973</v>
      </c>
      <c r="E31" s="299">
        <f>+B31-D31</f>
        <v>0</v>
      </c>
    </row>
    <row r="32" spans="1:5">
      <c r="A32" s="298" t="s">
        <v>494</v>
      </c>
      <c r="B32" s="299">
        <f>+_1.1.sz.mell.!D161</f>
        <v>2753630027</v>
      </c>
      <c r="C32" s="298" t="s">
        <v>459</v>
      </c>
      <c r="D32" s="300">
        <f>+'2.1.sz.mell'!H30+'2.2.sz.mell'!H31</f>
        <v>2753630027</v>
      </c>
      <c r="E32" s="299">
        <f>+B32-D32</f>
        <v>0</v>
      </c>
    </row>
    <row r="33" spans="1:5">
      <c r="A33" s="298"/>
      <c r="B33" s="299"/>
      <c r="C33" s="298"/>
      <c r="D33" s="300"/>
      <c r="E33" s="299"/>
    </row>
    <row r="34" spans="1:5" ht="15.75">
      <c r="A34" s="304" t="str">
        <f>+IB_ÖSSZEFÜGGÉSEK!A37</f>
        <v>2019. I. félévi (I-II. negyedévi) teljesítés KIADÁSOK</v>
      </c>
      <c r="B34" s="301"/>
      <c r="C34" s="302"/>
      <c r="D34" s="300"/>
      <c r="E34" s="299"/>
    </row>
    <row r="35" spans="1:5">
      <c r="A35" s="298"/>
      <c r="B35" s="299"/>
      <c r="C35" s="298"/>
      <c r="D35" s="300"/>
      <c r="E35" s="299"/>
    </row>
    <row r="36" spans="1:5">
      <c r="A36" s="298" t="s">
        <v>495</v>
      </c>
      <c r="B36" s="299">
        <f>+_1.1.sz.mell.!E135</f>
        <v>1511285066</v>
      </c>
      <c r="C36" s="298" t="s">
        <v>449</v>
      </c>
      <c r="D36" s="300">
        <f>+'2.1.sz.mell'!I18+'2.2.sz.mell'!I17</f>
        <v>1511285066</v>
      </c>
      <c r="E36" s="299">
        <f>+B36-D36</f>
        <v>0</v>
      </c>
    </row>
    <row r="37" spans="1:5">
      <c r="A37" s="298" t="s">
        <v>496</v>
      </c>
      <c r="B37" s="299">
        <f>+_1.1.sz.mell.!E160</f>
        <v>11470973</v>
      </c>
      <c r="C37" s="298" t="s">
        <v>460</v>
      </c>
      <c r="D37" s="300">
        <f>+'2.1.sz.mell'!I29+'2.2.sz.mell'!I30</f>
        <v>11470973</v>
      </c>
      <c r="E37" s="299">
        <f>+B37-D37</f>
        <v>0</v>
      </c>
    </row>
    <row r="38" spans="1:5">
      <c r="A38" s="298" t="s">
        <v>501</v>
      </c>
      <c r="B38" s="299">
        <f>+_1.1.sz.mell.!E161</f>
        <v>1522756039</v>
      </c>
      <c r="C38" s="298" t="s">
        <v>461</v>
      </c>
      <c r="D38" s="300">
        <f>+'2.1.sz.mell'!I30+'2.2.sz.mell'!I31</f>
        <v>1522756039</v>
      </c>
      <c r="E38" s="299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5"/>
  <sheetViews>
    <sheetView zoomScale="120" zoomScaleNormal="120" workbookViewId="0">
      <selection activeCell="B1" sqref="B1:G1"/>
    </sheetView>
  </sheetViews>
  <sheetFormatPr defaultRowHeight="12.75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21.75" customHeight="1">
      <c r="A1" s="424"/>
      <c r="B1" s="500" t="str">
        <f>CONCATENATE("3. melléklet ",IB_ALAPADATOK!A7," ",IB_ALAPADATOK!B7," ",IB_ALAPADATOK!C7," ",IB_ALAPADATOK!D7)</f>
        <v xml:space="preserve">3. melléklet a 7/2019.(X.09.)  önkormányzati rendelethez </v>
      </c>
      <c r="C1" s="501"/>
      <c r="D1" s="501"/>
      <c r="E1" s="501"/>
      <c r="F1" s="501"/>
      <c r="G1" s="501"/>
    </row>
    <row r="2" spans="1:7">
      <c r="A2" s="424"/>
      <c r="B2" s="425"/>
      <c r="C2" s="425"/>
      <c r="D2" s="425"/>
      <c r="E2" s="425"/>
      <c r="F2" s="425"/>
      <c r="G2" s="425"/>
    </row>
    <row r="3" spans="1:7" ht="25.5" customHeight="1">
      <c r="A3" s="499" t="s">
        <v>0</v>
      </c>
      <c r="B3" s="499"/>
      <c r="C3" s="499"/>
      <c r="D3" s="499"/>
      <c r="E3" s="499"/>
      <c r="F3" s="499"/>
      <c r="G3" s="499"/>
    </row>
    <row r="4" spans="1:7" ht="22.5" customHeight="1" thickBot="1">
      <c r="A4" s="424"/>
      <c r="B4" s="425"/>
      <c r="C4" s="425"/>
      <c r="D4" s="425"/>
      <c r="E4" s="425"/>
      <c r="F4" s="425"/>
      <c r="G4" s="426" t="str">
        <f>'2.2.sz.mell'!I2</f>
        <v xml:space="preserve"> Forintban!</v>
      </c>
    </row>
    <row r="5" spans="1:7" s="29" customFormat="1" ht="44.45" customHeight="1" thickBot="1">
      <c r="A5" s="427" t="s">
        <v>51</v>
      </c>
      <c r="B5" s="393" t="s">
        <v>52</v>
      </c>
      <c r="C5" s="393" t="s">
        <v>53</v>
      </c>
      <c r="D5" s="393" t="str">
        <f>+CONCATENATE("Felhasználás   ",LEFT(IB_ÖSSZEFÜGGÉSEK!A6,4)-1,". XII. 31-ig")</f>
        <v>Felhasználás   2018. XII. 31-ig</v>
      </c>
      <c r="E5" s="393" t="str">
        <f>+CONCATENATE(LEFT(IB_ÖSSZEFÜGGÉSEK!A6,4),". évi",CHAR(10),"módosított előirányzat")</f>
        <v>2019. évi
módosított előirányzat</v>
      </c>
      <c r="F5" s="393" t="str">
        <f>+CONCATENATE("Teljesítés",CHAR(10),LEFT(IB_ÖSSZEFÜGGÉSEK!A6,4),". VI. 30-ig")</f>
        <v>Teljesítés
2019. VI. 30-ig</v>
      </c>
      <c r="G5" s="394" t="str">
        <f>+CONCATENATE("Összes teljesítés",CHAR(10),LEFT(IB_ÖSSZEFÜGGÉSEK!A6,4),". VI. 30-ig")</f>
        <v>Összes teljesítés
2019. VI. 30-ig</v>
      </c>
    </row>
    <row r="6" spans="1:7" s="33" customFormat="1" ht="12" customHeight="1" thickBot="1">
      <c r="A6" s="428" t="s">
        <v>404</v>
      </c>
      <c r="B6" s="429" t="s">
        <v>405</v>
      </c>
      <c r="C6" s="429" t="s">
        <v>406</v>
      </c>
      <c r="D6" s="429" t="s">
        <v>408</v>
      </c>
      <c r="E6" s="429" t="s">
        <v>407</v>
      </c>
      <c r="F6" s="429" t="s">
        <v>409</v>
      </c>
      <c r="G6" s="430" t="s">
        <v>462</v>
      </c>
    </row>
    <row r="7" spans="1:7" ht="15.95" customHeight="1">
      <c r="A7" s="243"/>
      <c r="B7" s="21"/>
      <c r="C7" s="245"/>
      <c r="D7" s="21"/>
      <c r="E7" s="21"/>
      <c r="F7" s="21"/>
      <c r="G7" s="34">
        <f t="shared" ref="G7:G24" si="0">B7-D7-F7</f>
        <v>0</v>
      </c>
    </row>
    <row r="8" spans="1:7" ht="15.95" customHeight="1">
      <c r="A8" s="243"/>
      <c r="B8" s="21"/>
      <c r="C8" s="245"/>
      <c r="D8" s="21"/>
      <c r="E8" s="21"/>
      <c r="F8" s="21"/>
      <c r="G8" s="34">
        <f t="shared" si="0"/>
        <v>0</v>
      </c>
    </row>
    <row r="9" spans="1:7" ht="15.95" customHeight="1">
      <c r="A9" s="243"/>
      <c r="B9" s="21"/>
      <c r="C9" s="245"/>
      <c r="D9" s="21"/>
      <c r="E9" s="21"/>
      <c r="F9" s="21"/>
      <c r="G9" s="34">
        <f t="shared" si="0"/>
        <v>0</v>
      </c>
    </row>
    <row r="10" spans="1:7" ht="15.95" customHeight="1">
      <c r="A10" s="244"/>
      <c r="B10" s="21"/>
      <c r="C10" s="245"/>
      <c r="D10" s="21"/>
      <c r="E10" s="21"/>
      <c r="F10" s="21"/>
      <c r="G10" s="34">
        <f t="shared" si="0"/>
        <v>0</v>
      </c>
    </row>
    <row r="11" spans="1:7" ht="15.95" customHeight="1">
      <c r="A11" s="243"/>
      <c r="B11" s="21"/>
      <c r="C11" s="245"/>
      <c r="D11" s="21"/>
      <c r="E11" s="21"/>
      <c r="F11" s="21"/>
      <c r="G11" s="34">
        <f t="shared" si="0"/>
        <v>0</v>
      </c>
    </row>
    <row r="12" spans="1:7" ht="15.95" customHeight="1">
      <c r="A12" s="244"/>
      <c r="B12" s="21"/>
      <c r="C12" s="245"/>
      <c r="D12" s="21"/>
      <c r="E12" s="21"/>
      <c r="F12" s="21"/>
      <c r="G12" s="34">
        <f t="shared" si="0"/>
        <v>0</v>
      </c>
    </row>
    <row r="13" spans="1:7" ht="15.95" customHeight="1">
      <c r="A13" s="243"/>
      <c r="B13" s="21"/>
      <c r="C13" s="245"/>
      <c r="D13" s="21"/>
      <c r="E13" s="21"/>
      <c r="F13" s="21"/>
      <c r="G13" s="34">
        <f t="shared" si="0"/>
        <v>0</v>
      </c>
    </row>
    <row r="14" spans="1:7" ht="15.95" customHeight="1">
      <c r="A14" s="243"/>
      <c r="B14" s="21"/>
      <c r="C14" s="245"/>
      <c r="D14" s="21"/>
      <c r="E14" s="21"/>
      <c r="F14" s="21"/>
      <c r="G14" s="34">
        <f t="shared" si="0"/>
        <v>0</v>
      </c>
    </row>
    <row r="15" spans="1:7" ht="15.95" customHeight="1">
      <c r="A15" s="243"/>
      <c r="B15" s="21"/>
      <c r="C15" s="245"/>
      <c r="D15" s="21"/>
      <c r="E15" s="21"/>
      <c r="F15" s="21"/>
      <c r="G15" s="34">
        <f t="shared" si="0"/>
        <v>0</v>
      </c>
    </row>
    <row r="16" spans="1:7" ht="15.95" customHeight="1">
      <c r="A16" s="243"/>
      <c r="B16" s="21"/>
      <c r="C16" s="245"/>
      <c r="D16" s="21"/>
      <c r="E16" s="21"/>
      <c r="F16" s="21"/>
      <c r="G16" s="34">
        <f t="shared" si="0"/>
        <v>0</v>
      </c>
    </row>
    <row r="17" spans="1:7" ht="15.95" customHeight="1">
      <c r="A17" s="243"/>
      <c r="B17" s="21"/>
      <c r="C17" s="245"/>
      <c r="D17" s="21"/>
      <c r="E17" s="21"/>
      <c r="F17" s="21"/>
      <c r="G17" s="34">
        <f t="shared" si="0"/>
        <v>0</v>
      </c>
    </row>
    <row r="18" spans="1:7" ht="15.95" customHeight="1">
      <c r="A18" s="243"/>
      <c r="B18" s="21"/>
      <c r="C18" s="245"/>
      <c r="D18" s="21"/>
      <c r="E18" s="21"/>
      <c r="F18" s="21"/>
      <c r="G18" s="34">
        <f t="shared" si="0"/>
        <v>0</v>
      </c>
    </row>
    <row r="19" spans="1:7" ht="15.95" customHeight="1">
      <c r="A19" s="243"/>
      <c r="B19" s="21"/>
      <c r="C19" s="245"/>
      <c r="D19" s="21"/>
      <c r="E19" s="21"/>
      <c r="F19" s="21"/>
      <c r="G19" s="34">
        <f t="shared" si="0"/>
        <v>0</v>
      </c>
    </row>
    <row r="20" spans="1:7" ht="15.95" customHeight="1">
      <c r="A20" s="243"/>
      <c r="B20" s="21"/>
      <c r="C20" s="245"/>
      <c r="D20" s="21"/>
      <c r="E20" s="21"/>
      <c r="F20" s="21"/>
      <c r="G20" s="34">
        <f t="shared" si="0"/>
        <v>0</v>
      </c>
    </row>
    <row r="21" spans="1:7" ht="15.95" customHeight="1">
      <c r="A21" s="243"/>
      <c r="B21" s="21"/>
      <c r="C21" s="245"/>
      <c r="D21" s="21"/>
      <c r="E21" s="21"/>
      <c r="F21" s="21"/>
      <c r="G21" s="34">
        <f t="shared" si="0"/>
        <v>0</v>
      </c>
    </row>
    <row r="22" spans="1:7" ht="15.95" customHeight="1">
      <c r="A22" s="243"/>
      <c r="B22" s="21"/>
      <c r="C22" s="245"/>
      <c r="D22" s="21"/>
      <c r="E22" s="21"/>
      <c r="F22" s="21"/>
      <c r="G22" s="34">
        <f t="shared" si="0"/>
        <v>0</v>
      </c>
    </row>
    <row r="23" spans="1:7" ht="15.95" customHeight="1">
      <c r="A23" s="243"/>
      <c r="B23" s="21"/>
      <c r="C23" s="245"/>
      <c r="D23" s="21"/>
      <c r="E23" s="21"/>
      <c r="F23" s="21"/>
      <c r="G23" s="34">
        <f t="shared" si="0"/>
        <v>0</v>
      </c>
    </row>
    <row r="24" spans="1:7" ht="15.95" customHeight="1" thickBot="1">
      <c r="A24" s="35"/>
      <c r="B24" s="22"/>
      <c r="C24" s="246"/>
      <c r="D24" s="22"/>
      <c r="E24" s="22"/>
      <c r="F24" s="22"/>
      <c r="G24" s="36">
        <f t="shared" si="0"/>
        <v>0</v>
      </c>
    </row>
    <row r="25" spans="1:7" s="39" customFormat="1" ht="18" customHeight="1" thickBot="1">
      <c r="A25" s="79" t="s">
        <v>50</v>
      </c>
      <c r="B25" s="37">
        <f>SUM(B7:B24)</f>
        <v>0</v>
      </c>
      <c r="C25" s="56"/>
      <c r="D25" s="37">
        <f>SUM(D7:D24)</f>
        <v>0</v>
      </c>
      <c r="E25" s="37"/>
      <c r="F25" s="37">
        <f>SUM(F7:F24)</f>
        <v>0</v>
      </c>
      <c r="G25" s="38">
        <f>SUM(G7:G24)</f>
        <v>0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="120" zoomScaleNormal="120" workbookViewId="0"/>
  </sheetViews>
  <sheetFormatPr defaultRowHeight="12.75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20.45" customHeight="1">
      <c r="A1" s="424"/>
      <c r="B1" s="500" t="str">
        <f>CONCATENATE("4. melléklet ",IB_ALAPADATOK!A7," ",IB_ALAPADATOK!B7," ",IB_ALAPADATOK!C7," ",IB_ALAPADATOK!D7)</f>
        <v xml:space="preserve">4. melléklet a 7/2019.(X.09.)  önkormányzati rendelethez </v>
      </c>
      <c r="C1" s="500"/>
      <c r="D1" s="500"/>
      <c r="E1" s="500"/>
      <c r="F1" s="500"/>
      <c r="G1" s="500"/>
    </row>
    <row r="2" spans="1:7">
      <c r="A2" s="424"/>
      <c r="B2" s="425"/>
      <c r="C2" s="425"/>
      <c r="D2" s="425"/>
      <c r="E2" s="425"/>
      <c r="F2" s="425"/>
      <c r="G2" s="425"/>
    </row>
    <row r="3" spans="1:7" ht="24.75" customHeight="1">
      <c r="A3" s="499" t="s">
        <v>1</v>
      </c>
      <c r="B3" s="499"/>
      <c r="C3" s="499"/>
      <c r="D3" s="499"/>
      <c r="E3" s="499"/>
      <c r="F3" s="499"/>
      <c r="G3" s="499"/>
    </row>
    <row r="4" spans="1:7" ht="23.25" customHeight="1" thickBot="1">
      <c r="A4" s="424"/>
      <c r="B4" s="425"/>
      <c r="C4" s="425"/>
      <c r="D4" s="425"/>
      <c r="E4" s="425"/>
      <c r="F4" s="425"/>
      <c r="G4" s="426" t="str">
        <f>IB_3.sz.mell.!G4</f>
        <v xml:space="preserve"> Forintban!</v>
      </c>
    </row>
    <row r="5" spans="1:7" s="29" customFormat="1" ht="48.75" customHeight="1" thickBot="1">
      <c r="A5" s="427" t="s">
        <v>54</v>
      </c>
      <c r="B5" s="393" t="s">
        <v>52</v>
      </c>
      <c r="C5" s="393" t="s">
        <v>53</v>
      </c>
      <c r="D5" s="393" t="str">
        <f>+IB_3.sz.mell.!D5</f>
        <v>Felhasználás   2018. XII. 31-ig</v>
      </c>
      <c r="E5" s="393" t="str">
        <f>+CONCATENATE(LEFT(IB_ÖSSZEFÜGGÉSEK!A6,4),". évi",CHAR(10),"módosított előirányzat")</f>
        <v>2019. évi
módosított előirányzat</v>
      </c>
      <c r="F5" s="393" t="str">
        <f>+CONCATENATE("Teljesítés",CHAR(10),LEFT(IB_ÖSSZEFÜGGÉSEK!A6,4),". VI. 30-ig")</f>
        <v>Teljesítés
2019. VI. 30-ig</v>
      </c>
      <c r="G5" s="394" t="str">
        <f>+CONCATENATE("Összes teljesítés",CHAR(10),LEFT(IB_ÖSSZEFÜGGÉSEK!A6,4),". VI. 30-ig")</f>
        <v>Összes teljesítés
2019. VI. 30-ig</v>
      </c>
    </row>
    <row r="6" spans="1:7" s="33" customFormat="1" ht="15.2" customHeight="1" thickBot="1">
      <c r="A6" s="428" t="s">
        <v>404</v>
      </c>
      <c r="B6" s="429" t="s">
        <v>405</v>
      </c>
      <c r="C6" s="429" t="s">
        <v>406</v>
      </c>
      <c r="D6" s="429" t="s">
        <v>408</v>
      </c>
      <c r="E6" s="429" t="s">
        <v>407</v>
      </c>
      <c r="F6" s="429" t="s">
        <v>409</v>
      </c>
      <c r="G6" s="430" t="s">
        <v>462</v>
      </c>
    </row>
    <row r="7" spans="1:7" ht="15.95" customHeight="1">
      <c r="A7" s="40"/>
      <c r="B7" s="41"/>
      <c r="C7" s="247"/>
      <c r="D7" s="41"/>
      <c r="E7" s="41"/>
      <c r="F7" s="41"/>
      <c r="G7" s="42">
        <f t="shared" ref="G7:G25" si="0">B7-D7-F7</f>
        <v>0</v>
      </c>
    </row>
    <row r="8" spans="1:7" ht="15.95" customHeight="1">
      <c r="A8" s="40"/>
      <c r="B8" s="41"/>
      <c r="C8" s="247"/>
      <c r="D8" s="41"/>
      <c r="E8" s="41"/>
      <c r="F8" s="41"/>
      <c r="G8" s="42">
        <f t="shared" si="0"/>
        <v>0</v>
      </c>
    </row>
    <row r="9" spans="1:7" ht="15.95" customHeight="1">
      <c r="A9" s="40"/>
      <c r="B9" s="41"/>
      <c r="C9" s="247"/>
      <c r="D9" s="41"/>
      <c r="E9" s="41"/>
      <c r="F9" s="41"/>
      <c r="G9" s="42">
        <f t="shared" si="0"/>
        <v>0</v>
      </c>
    </row>
    <row r="10" spans="1:7" ht="15.95" customHeight="1">
      <c r="A10" s="40"/>
      <c r="B10" s="41"/>
      <c r="C10" s="247"/>
      <c r="D10" s="41"/>
      <c r="E10" s="41"/>
      <c r="F10" s="41"/>
      <c r="G10" s="42">
        <f t="shared" si="0"/>
        <v>0</v>
      </c>
    </row>
    <row r="11" spans="1:7" ht="15.95" customHeight="1">
      <c r="A11" s="40"/>
      <c r="B11" s="41"/>
      <c r="C11" s="247"/>
      <c r="D11" s="41"/>
      <c r="E11" s="41"/>
      <c r="F11" s="41"/>
      <c r="G11" s="42">
        <f t="shared" si="0"/>
        <v>0</v>
      </c>
    </row>
    <row r="12" spans="1:7" ht="15.95" customHeight="1">
      <c r="A12" s="40"/>
      <c r="B12" s="41"/>
      <c r="C12" s="247"/>
      <c r="D12" s="41"/>
      <c r="E12" s="41"/>
      <c r="F12" s="41"/>
      <c r="G12" s="42">
        <f t="shared" si="0"/>
        <v>0</v>
      </c>
    </row>
    <row r="13" spans="1:7" ht="15.95" customHeight="1">
      <c r="A13" s="40"/>
      <c r="B13" s="41"/>
      <c r="C13" s="247"/>
      <c r="D13" s="41"/>
      <c r="E13" s="41"/>
      <c r="F13" s="41"/>
      <c r="G13" s="42">
        <f t="shared" si="0"/>
        <v>0</v>
      </c>
    </row>
    <row r="14" spans="1:7" ht="15.95" customHeight="1">
      <c r="A14" s="40"/>
      <c r="B14" s="41"/>
      <c r="C14" s="247"/>
      <c r="D14" s="41"/>
      <c r="E14" s="41"/>
      <c r="F14" s="41"/>
      <c r="G14" s="42">
        <f t="shared" si="0"/>
        <v>0</v>
      </c>
    </row>
    <row r="15" spans="1:7" ht="15.95" customHeight="1">
      <c r="A15" s="40"/>
      <c r="B15" s="41"/>
      <c r="C15" s="247"/>
      <c r="D15" s="41"/>
      <c r="E15" s="41"/>
      <c r="F15" s="41"/>
      <c r="G15" s="42">
        <f t="shared" si="0"/>
        <v>0</v>
      </c>
    </row>
    <row r="16" spans="1:7" ht="15.95" customHeight="1">
      <c r="A16" s="40"/>
      <c r="B16" s="41"/>
      <c r="C16" s="247"/>
      <c r="D16" s="41"/>
      <c r="E16" s="41"/>
      <c r="F16" s="41"/>
      <c r="G16" s="42">
        <f t="shared" si="0"/>
        <v>0</v>
      </c>
    </row>
    <row r="17" spans="1:7" ht="15.95" customHeight="1">
      <c r="A17" s="40"/>
      <c r="B17" s="41"/>
      <c r="C17" s="247"/>
      <c r="D17" s="41"/>
      <c r="E17" s="41"/>
      <c r="F17" s="41"/>
      <c r="G17" s="42">
        <f t="shared" si="0"/>
        <v>0</v>
      </c>
    </row>
    <row r="18" spans="1:7" ht="15.95" customHeight="1">
      <c r="A18" s="40"/>
      <c r="B18" s="41"/>
      <c r="C18" s="247"/>
      <c r="D18" s="41"/>
      <c r="E18" s="41"/>
      <c r="F18" s="41"/>
      <c r="G18" s="42">
        <f t="shared" si="0"/>
        <v>0</v>
      </c>
    </row>
    <row r="19" spans="1:7" ht="15.95" customHeight="1">
      <c r="A19" s="40"/>
      <c r="B19" s="41"/>
      <c r="C19" s="247"/>
      <c r="D19" s="41"/>
      <c r="E19" s="41"/>
      <c r="F19" s="41"/>
      <c r="G19" s="42">
        <f t="shared" si="0"/>
        <v>0</v>
      </c>
    </row>
    <row r="20" spans="1:7" ht="15.95" customHeight="1">
      <c r="A20" s="40"/>
      <c r="B20" s="41"/>
      <c r="C20" s="247"/>
      <c r="D20" s="41"/>
      <c r="E20" s="41"/>
      <c r="F20" s="41"/>
      <c r="G20" s="42">
        <f t="shared" si="0"/>
        <v>0</v>
      </c>
    </row>
    <row r="21" spans="1:7" ht="15.95" customHeight="1">
      <c r="A21" s="40"/>
      <c r="B21" s="41"/>
      <c r="C21" s="247"/>
      <c r="D21" s="41"/>
      <c r="E21" s="41"/>
      <c r="F21" s="41"/>
      <c r="G21" s="42">
        <f t="shared" si="0"/>
        <v>0</v>
      </c>
    </row>
    <row r="22" spans="1:7" ht="15.95" customHeight="1">
      <c r="A22" s="40"/>
      <c r="B22" s="41"/>
      <c r="C22" s="247"/>
      <c r="D22" s="41"/>
      <c r="E22" s="41"/>
      <c r="F22" s="41"/>
      <c r="G22" s="42">
        <f t="shared" si="0"/>
        <v>0</v>
      </c>
    </row>
    <row r="23" spans="1:7" ht="15.95" customHeight="1">
      <c r="A23" s="40"/>
      <c r="B23" s="41"/>
      <c r="C23" s="247"/>
      <c r="D23" s="41"/>
      <c r="E23" s="41"/>
      <c r="F23" s="41"/>
      <c r="G23" s="42">
        <f t="shared" si="0"/>
        <v>0</v>
      </c>
    </row>
    <row r="24" spans="1:7" ht="15.95" customHeight="1">
      <c r="A24" s="40"/>
      <c r="B24" s="41"/>
      <c r="C24" s="247"/>
      <c r="D24" s="41"/>
      <c r="E24" s="41"/>
      <c r="F24" s="41"/>
      <c r="G24" s="42">
        <f t="shared" si="0"/>
        <v>0</v>
      </c>
    </row>
    <row r="25" spans="1:7" ht="15.95" customHeight="1" thickBot="1">
      <c r="A25" s="43"/>
      <c r="B25" s="44"/>
      <c r="C25" s="248"/>
      <c r="D25" s="44"/>
      <c r="E25" s="44"/>
      <c r="F25" s="44"/>
      <c r="G25" s="45">
        <f t="shared" si="0"/>
        <v>0</v>
      </c>
    </row>
    <row r="26" spans="1:7" s="39" customFormat="1" ht="18" customHeight="1" thickBot="1">
      <c r="A26" s="79" t="s">
        <v>50</v>
      </c>
      <c r="B26" s="80">
        <f>SUM(B7:B25)</f>
        <v>0</v>
      </c>
      <c r="C26" s="57"/>
      <c r="D26" s="80">
        <f>SUM(D7:D25)</f>
        <v>0</v>
      </c>
      <c r="E26" s="80"/>
      <c r="F26" s="80">
        <f>SUM(F7:F25)</f>
        <v>0</v>
      </c>
      <c r="G26" s="46">
        <f>SUM(G7:G25)</f>
        <v>0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N50"/>
  <sheetViews>
    <sheetView zoomScale="120" zoomScaleNormal="120" zoomScaleSheetLayoutView="100" workbookViewId="0">
      <selection activeCell="R33" sqref="Q33:R33"/>
    </sheetView>
  </sheetViews>
  <sheetFormatPr defaultRowHeight="12.75"/>
  <cols>
    <col min="1" max="1" width="28.5" style="31" customWidth="1"/>
    <col min="2" max="13" width="10" style="31" customWidth="1"/>
    <col min="14" max="14" width="4" style="31" customWidth="1"/>
    <col min="15" max="16384" width="9.33203125" style="31"/>
  </cols>
  <sheetData>
    <row r="1" spans="1:14" ht="15">
      <c r="A1" s="502" t="str">
        <f>CONCATENATE("5. melléklet ",IB_ALAPADATOK!A7," ",IB_ALAPADATOK!B7," ",IB_ALAPADATOK!C7," ",IB_ALAPADATOK!D7)</f>
        <v xml:space="preserve">5. melléklet a 7/2019.(X.09.)  önkormányzati rendelethez 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</row>
    <row r="2" spans="1:14" ht="15.75">
      <c r="A2" s="503" t="s">
        <v>554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</row>
    <row r="3" spans="1:14" ht="15.75">
      <c r="A3" s="504" t="s">
        <v>589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</row>
    <row r="4" spans="1:14" ht="15.75" customHeight="1">
      <c r="A4" s="506" t="s">
        <v>555</v>
      </c>
      <c r="B4" s="506"/>
      <c r="C4" s="506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12"/>
    </row>
    <row r="5" spans="1:14" ht="15.75" thickBot="1">
      <c r="A5" s="423"/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513" t="str">
        <f>IB_4.sz.mell.!G4</f>
        <v xml:space="preserve"> Forintban!</v>
      </c>
      <c r="M5" s="513"/>
      <c r="N5" s="512"/>
    </row>
    <row r="6" spans="1:14" ht="13.5" thickBot="1">
      <c r="A6" s="514" t="s">
        <v>87</v>
      </c>
      <c r="B6" s="517" t="s">
        <v>463</v>
      </c>
      <c r="C6" s="517"/>
      <c r="D6" s="517"/>
      <c r="E6" s="517"/>
      <c r="F6" s="517"/>
      <c r="G6" s="517"/>
      <c r="H6" s="517"/>
      <c r="I6" s="517"/>
      <c r="J6" s="518" t="s">
        <v>464</v>
      </c>
      <c r="K6" s="518"/>
      <c r="L6" s="518"/>
      <c r="M6" s="518"/>
      <c r="N6" s="512"/>
    </row>
    <row r="7" spans="1:14" ht="15.2" customHeight="1" thickBot="1">
      <c r="A7" s="515"/>
      <c r="B7" s="507" t="s">
        <v>465</v>
      </c>
      <c r="C7" s="527" t="s">
        <v>466</v>
      </c>
      <c r="D7" s="509" t="s">
        <v>467</v>
      </c>
      <c r="E7" s="509"/>
      <c r="F7" s="509"/>
      <c r="G7" s="509"/>
      <c r="H7" s="509"/>
      <c r="I7" s="509"/>
      <c r="J7" s="519"/>
      <c r="K7" s="519"/>
      <c r="L7" s="519"/>
      <c r="M7" s="519"/>
      <c r="N7" s="512"/>
    </row>
    <row r="8" spans="1:14" ht="21.75" thickBot="1">
      <c r="A8" s="515"/>
      <c r="B8" s="507"/>
      <c r="C8" s="527"/>
      <c r="D8" s="307" t="s">
        <v>465</v>
      </c>
      <c r="E8" s="307" t="s">
        <v>466</v>
      </c>
      <c r="F8" s="307" t="s">
        <v>465</v>
      </c>
      <c r="G8" s="307" t="s">
        <v>466</v>
      </c>
      <c r="H8" s="307" t="s">
        <v>465</v>
      </c>
      <c r="I8" s="307" t="s">
        <v>466</v>
      </c>
      <c r="J8" s="519"/>
      <c r="K8" s="519"/>
      <c r="L8" s="519"/>
      <c r="M8" s="519"/>
      <c r="N8" s="512"/>
    </row>
    <row r="9" spans="1:14" ht="32.25" thickBot="1">
      <c r="A9" s="516"/>
      <c r="B9" s="527" t="s">
        <v>468</v>
      </c>
      <c r="C9" s="527"/>
      <c r="D9" s="527" t="str">
        <f>+CONCATENATE(LEFT(IB_ÖSSZEFÜGGÉSEK!A6,4),". előtt")</f>
        <v>2019. előtt</v>
      </c>
      <c r="E9" s="527"/>
      <c r="F9" s="505" t="str">
        <f>+CONCATENATE(LEFT(IB_ÖSSZEFÜGGÉSEK!A6,4),". VI.30.")</f>
        <v>2019. VI.30.</v>
      </c>
      <c r="G9" s="505"/>
      <c r="H9" s="507" t="str">
        <f>+CONCATENATE(LEFT(IB_ÖSSZEFÜGGÉSEK!A6,4),". után")</f>
        <v>2019. után</v>
      </c>
      <c r="I9" s="507"/>
      <c r="J9" s="396" t="str">
        <f>+D9</f>
        <v>2019. előtt</v>
      </c>
      <c r="K9" s="395" t="str">
        <f>+F9</f>
        <v>2019. VI.30.</v>
      </c>
      <c r="L9" s="306" t="s">
        <v>40</v>
      </c>
      <c r="M9" s="395" t="str">
        <f>+CONCATENATE("Teljesítés %-a ",LEFT(IB_ÖSSZEFÜGGÉSEK!A6,4),". VI. 30-ig")</f>
        <v>Teljesítés %-a 2019. VI. 30-ig</v>
      </c>
      <c r="N9" s="512"/>
    </row>
    <row r="10" spans="1:14" ht="13.5" thickBot="1">
      <c r="A10" s="308" t="s">
        <v>404</v>
      </c>
      <c r="B10" s="306" t="s">
        <v>405</v>
      </c>
      <c r="C10" s="306" t="s">
        <v>406</v>
      </c>
      <c r="D10" s="309" t="s">
        <v>408</v>
      </c>
      <c r="E10" s="307" t="s">
        <v>407</v>
      </c>
      <c r="F10" s="307" t="s">
        <v>409</v>
      </c>
      <c r="G10" s="307" t="s">
        <v>410</v>
      </c>
      <c r="H10" s="306" t="s">
        <v>411</v>
      </c>
      <c r="I10" s="309" t="s">
        <v>442</v>
      </c>
      <c r="J10" s="309" t="s">
        <v>469</v>
      </c>
      <c r="K10" s="309" t="s">
        <v>470</v>
      </c>
      <c r="L10" s="309" t="s">
        <v>471</v>
      </c>
      <c r="M10" s="310" t="s">
        <v>472</v>
      </c>
      <c r="N10" s="512"/>
    </row>
    <row r="11" spans="1:14">
      <c r="A11" s="311" t="s">
        <v>88</v>
      </c>
      <c r="B11" s="357"/>
      <c r="C11" s="358"/>
      <c r="D11" s="358"/>
      <c r="E11" s="359"/>
      <c r="F11" s="358"/>
      <c r="G11" s="358"/>
      <c r="H11" s="358"/>
      <c r="I11" s="358"/>
      <c r="J11" s="358"/>
      <c r="K11" s="358"/>
      <c r="L11" s="360">
        <f t="shared" ref="L11:L17" si="0">+J11+K11</f>
        <v>0</v>
      </c>
      <c r="M11" s="361" t="str">
        <f>IF((C11&lt;&gt;0),ROUND((L11/C11)*100,1),"")</f>
        <v/>
      </c>
      <c r="N11" s="512"/>
    </row>
    <row r="12" spans="1:14">
      <c r="A12" s="313" t="s">
        <v>100</v>
      </c>
      <c r="B12" s="362"/>
      <c r="C12" s="363"/>
      <c r="D12" s="363"/>
      <c r="E12" s="363"/>
      <c r="F12" s="363"/>
      <c r="G12" s="363"/>
      <c r="H12" s="363"/>
      <c r="I12" s="363"/>
      <c r="J12" s="363"/>
      <c r="K12" s="363"/>
      <c r="L12" s="364">
        <f t="shared" si="0"/>
        <v>0</v>
      </c>
      <c r="M12" s="365" t="str">
        <f t="shared" ref="M12:M17" si="1">IF((C12&lt;&gt;0),ROUND((L12/C12)*100,1),"")</f>
        <v/>
      </c>
      <c r="N12" s="512"/>
    </row>
    <row r="13" spans="1:14">
      <c r="A13" s="314" t="s">
        <v>89</v>
      </c>
      <c r="B13" s="366"/>
      <c r="C13" s="373"/>
      <c r="D13" s="367"/>
      <c r="E13" s="367"/>
      <c r="F13" s="367"/>
      <c r="G13" s="367"/>
      <c r="H13" s="367"/>
      <c r="I13" s="367"/>
      <c r="J13" s="367"/>
      <c r="K13" s="367"/>
      <c r="L13" s="364">
        <f t="shared" si="0"/>
        <v>0</v>
      </c>
      <c r="M13" s="365" t="str">
        <f t="shared" si="1"/>
        <v/>
      </c>
      <c r="N13" s="512"/>
    </row>
    <row r="14" spans="1:14">
      <c r="A14" s="314" t="s">
        <v>101</v>
      </c>
      <c r="B14" s="366"/>
      <c r="C14" s="367"/>
      <c r="D14" s="367"/>
      <c r="E14" s="367"/>
      <c r="F14" s="367"/>
      <c r="G14" s="367"/>
      <c r="H14" s="367"/>
      <c r="I14" s="367"/>
      <c r="J14" s="367"/>
      <c r="K14" s="367"/>
      <c r="L14" s="364">
        <f t="shared" si="0"/>
        <v>0</v>
      </c>
      <c r="M14" s="365" t="str">
        <f t="shared" si="1"/>
        <v/>
      </c>
      <c r="N14" s="512"/>
    </row>
    <row r="15" spans="1:14">
      <c r="A15" s="314" t="s">
        <v>90</v>
      </c>
      <c r="B15" s="366"/>
      <c r="C15" s="367"/>
      <c r="D15" s="367"/>
      <c r="E15" s="367"/>
      <c r="F15" s="367"/>
      <c r="G15" s="367"/>
      <c r="H15" s="367"/>
      <c r="I15" s="367"/>
      <c r="J15" s="367"/>
      <c r="K15" s="367"/>
      <c r="L15" s="364">
        <f t="shared" si="0"/>
        <v>0</v>
      </c>
      <c r="M15" s="365" t="str">
        <f t="shared" si="1"/>
        <v/>
      </c>
      <c r="N15" s="512"/>
    </row>
    <row r="16" spans="1:14">
      <c r="A16" s="314" t="s">
        <v>91</v>
      </c>
      <c r="B16" s="366"/>
      <c r="C16" s="367"/>
      <c r="D16" s="367"/>
      <c r="E16" s="367"/>
      <c r="F16" s="367"/>
      <c r="G16" s="367"/>
      <c r="H16" s="367"/>
      <c r="I16" s="367"/>
      <c r="J16" s="367"/>
      <c r="K16" s="367"/>
      <c r="L16" s="364">
        <f t="shared" si="0"/>
        <v>0</v>
      </c>
      <c r="M16" s="365" t="str">
        <f t="shared" si="1"/>
        <v/>
      </c>
      <c r="N16" s="512"/>
    </row>
    <row r="17" spans="1:14" ht="15.2" customHeight="1" thickBot="1">
      <c r="A17" s="315"/>
      <c r="B17" s="368"/>
      <c r="C17" s="369"/>
      <c r="D17" s="369"/>
      <c r="E17" s="369"/>
      <c r="F17" s="369"/>
      <c r="G17" s="369"/>
      <c r="H17" s="369"/>
      <c r="I17" s="369"/>
      <c r="J17" s="369"/>
      <c r="K17" s="369"/>
      <c r="L17" s="364">
        <f t="shared" si="0"/>
        <v>0</v>
      </c>
      <c r="M17" s="370" t="str">
        <f t="shared" si="1"/>
        <v/>
      </c>
      <c r="N17" s="512"/>
    </row>
    <row r="18" spans="1:14" ht="13.5" thickBot="1">
      <c r="A18" s="317" t="s">
        <v>93</v>
      </c>
      <c r="B18" s="371">
        <f>B11+SUM(B13:B17)</f>
        <v>0</v>
      </c>
      <c r="C18" s="371">
        <f t="shared" ref="C18:L18" si="2">C11+SUM(C13:C17)</f>
        <v>0</v>
      </c>
      <c r="D18" s="371">
        <f t="shared" si="2"/>
        <v>0</v>
      </c>
      <c r="E18" s="371">
        <f t="shared" si="2"/>
        <v>0</v>
      </c>
      <c r="F18" s="371">
        <f t="shared" si="2"/>
        <v>0</v>
      </c>
      <c r="G18" s="371">
        <f t="shared" si="2"/>
        <v>0</v>
      </c>
      <c r="H18" s="371">
        <f t="shared" si="2"/>
        <v>0</v>
      </c>
      <c r="I18" s="371">
        <f t="shared" si="2"/>
        <v>0</v>
      </c>
      <c r="J18" s="371">
        <f t="shared" si="2"/>
        <v>0</v>
      </c>
      <c r="K18" s="371">
        <f t="shared" si="2"/>
        <v>0</v>
      </c>
      <c r="L18" s="371">
        <f t="shared" si="2"/>
        <v>0</v>
      </c>
      <c r="M18" s="372" t="str">
        <f>IF((C18&lt;&gt;0),ROUND((L18/C18)*100,1),"")</f>
        <v/>
      </c>
      <c r="N18" s="512"/>
    </row>
    <row r="19" spans="1:14">
      <c r="A19" s="318"/>
      <c r="B19" s="319"/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512"/>
    </row>
    <row r="20" spans="1:14" ht="13.5" thickBot="1">
      <c r="A20" s="321" t="s">
        <v>92</v>
      </c>
      <c r="B20" s="322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512"/>
    </row>
    <row r="21" spans="1:14">
      <c r="A21" s="324" t="s">
        <v>96</v>
      </c>
      <c r="B21" s="374"/>
      <c r="C21" s="375"/>
      <c r="D21" s="375"/>
      <c r="E21" s="376"/>
      <c r="F21" s="375"/>
      <c r="G21" s="375"/>
      <c r="H21" s="375"/>
      <c r="I21" s="375"/>
      <c r="J21" s="375"/>
      <c r="K21" s="375"/>
      <c r="L21" s="377">
        <f>+J21+K21</f>
        <v>0</v>
      </c>
      <c r="M21" s="378" t="str">
        <f t="shared" ref="M21:M26" si="3">IF((C21&lt;&gt;0),ROUND((L21/C21)*100,1),"")</f>
        <v/>
      </c>
      <c r="N21" s="512"/>
    </row>
    <row r="22" spans="1:14">
      <c r="A22" s="325" t="s">
        <v>97</v>
      </c>
      <c r="B22" s="379"/>
      <c r="C22" s="373"/>
      <c r="D22" s="373"/>
      <c r="E22" s="373"/>
      <c r="F22" s="373"/>
      <c r="G22" s="373"/>
      <c r="H22" s="373"/>
      <c r="I22" s="373"/>
      <c r="J22" s="373"/>
      <c r="K22" s="373"/>
      <c r="L22" s="380">
        <f>+J22+K22</f>
        <v>0</v>
      </c>
      <c r="M22" s="381" t="str">
        <f t="shared" si="3"/>
        <v/>
      </c>
      <c r="N22" s="512"/>
    </row>
    <row r="23" spans="1:14">
      <c r="A23" s="325" t="s">
        <v>98</v>
      </c>
      <c r="B23" s="382"/>
      <c r="C23" s="373"/>
      <c r="D23" s="373"/>
      <c r="E23" s="373"/>
      <c r="F23" s="373"/>
      <c r="G23" s="373"/>
      <c r="H23" s="373"/>
      <c r="I23" s="373"/>
      <c r="J23" s="373"/>
      <c r="K23" s="373"/>
      <c r="L23" s="380">
        <f>+J23+K23</f>
        <v>0</v>
      </c>
      <c r="M23" s="381" t="str">
        <f t="shared" si="3"/>
        <v/>
      </c>
      <c r="N23" s="512"/>
    </row>
    <row r="24" spans="1:14">
      <c r="A24" s="325" t="s">
        <v>99</v>
      </c>
      <c r="B24" s="382"/>
      <c r="C24" s="373"/>
      <c r="D24" s="373"/>
      <c r="E24" s="373"/>
      <c r="F24" s="373"/>
      <c r="G24" s="373"/>
      <c r="H24" s="373"/>
      <c r="I24" s="373"/>
      <c r="J24" s="373"/>
      <c r="K24" s="373"/>
      <c r="L24" s="380">
        <f>+J24+K24</f>
        <v>0</v>
      </c>
      <c r="M24" s="381" t="str">
        <f t="shared" si="3"/>
        <v/>
      </c>
      <c r="N24" s="512"/>
    </row>
    <row r="25" spans="1:14" ht="13.5" thickBot="1">
      <c r="A25" s="326"/>
      <c r="B25" s="383"/>
      <c r="C25" s="384"/>
      <c r="D25" s="384"/>
      <c r="E25" s="384"/>
      <c r="F25" s="384"/>
      <c r="G25" s="384"/>
      <c r="H25" s="384"/>
      <c r="I25" s="384"/>
      <c r="J25" s="384"/>
      <c r="K25" s="384"/>
      <c r="L25" s="380">
        <f>+J25+K25</f>
        <v>0</v>
      </c>
      <c r="M25" s="385" t="str">
        <f t="shared" si="3"/>
        <v/>
      </c>
      <c r="N25" s="512"/>
    </row>
    <row r="26" spans="1:14" ht="13.5" thickBot="1">
      <c r="A26" s="327" t="s">
        <v>78</v>
      </c>
      <c r="B26" s="386">
        <f t="shared" ref="B26:L26" si="4">SUM(B21:B25)</f>
        <v>0</v>
      </c>
      <c r="C26" s="386">
        <f t="shared" si="4"/>
        <v>0</v>
      </c>
      <c r="D26" s="386">
        <f t="shared" si="4"/>
        <v>0</v>
      </c>
      <c r="E26" s="386">
        <f t="shared" si="4"/>
        <v>0</v>
      </c>
      <c r="F26" s="386">
        <f t="shared" si="4"/>
        <v>0</v>
      </c>
      <c r="G26" s="386">
        <f t="shared" si="4"/>
        <v>0</v>
      </c>
      <c r="H26" s="386">
        <f t="shared" si="4"/>
        <v>0</v>
      </c>
      <c r="I26" s="386">
        <f t="shared" si="4"/>
        <v>0</v>
      </c>
      <c r="J26" s="386">
        <f t="shared" si="4"/>
        <v>0</v>
      </c>
      <c r="K26" s="386">
        <f t="shared" si="4"/>
        <v>0</v>
      </c>
      <c r="L26" s="386">
        <f t="shared" si="4"/>
        <v>0</v>
      </c>
      <c r="M26" s="387" t="str">
        <f t="shared" si="3"/>
        <v/>
      </c>
      <c r="N26" s="512"/>
    </row>
    <row r="27" spans="1:14">
      <c r="A27" s="526" t="s">
        <v>543</v>
      </c>
      <c r="B27" s="526"/>
      <c r="C27" s="526"/>
      <c r="D27" s="526"/>
      <c r="E27" s="526"/>
      <c r="F27" s="526"/>
      <c r="G27" s="526"/>
      <c r="H27" s="526"/>
      <c r="I27" s="526"/>
      <c r="J27" s="526"/>
      <c r="K27" s="526"/>
      <c r="L27" s="526"/>
      <c r="M27" s="526"/>
      <c r="N27" s="512"/>
    </row>
    <row r="28" spans="1:14" ht="5.25" customHeight="1">
      <c r="A28" s="328"/>
      <c r="B28" s="328"/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512"/>
    </row>
    <row r="29" spans="1:14" ht="15.75">
      <c r="A29" s="529" t="str">
        <f>+CONCATENATE("Önkormányzaton kívüli EU-s projekthez történő hozzájárulás ",LEFT(IB_ÖSSZEFÜGGÉSEK!A6,4),". VI. 30.  előirányzata és teljesítése")</f>
        <v>Önkormányzaton kívüli EU-s projekthez történő hozzájárulás 2019. VI. 30.  előirányzata és teljesítése</v>
      </c>
      <c r="B29" s="529"/>
      <c r="C29" s="529"/>
      <c r="D29" s="529"/>
      <c r="E29" s="529"/>
      <c r="F29" s="529"/>
      <c r="G29" s="529"/>
      <c r="H29" s="529"/>
      <c r="I29" s="529"/>
      <c r="J29" s="529"/>
      <c r="K29" s="529"/>
      <c r="L29" s="529"/>
      <c r="M29" s="529"/>
      <c r="N29" s="512"/>
    </row>
    <row r="30" spans="1:14" ht="12" customHeight="1" thickBo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528" t="str">
        <f>L5</f>
        <v xml:space="preserve"> Forintban!</v>
      </c>
      <c r="M30" s="528"/>
      <c r="N30" s="512"/>
    </row>
    <row r="31" spans="1:14" ht="21.75" thickBot="1">
      <c r="A31" s="524" t="s">
        <v>94</v>
      </c>
      <c r="B31" s="525"/>
      <c r="C31" s="525"/>
      <c r="D31" s="525"/>
      <c r="E31" s="525"/>
      <c r="F31" s="525"/>
      <c r="G31" s="525"/>
      <c r="H31" s="525"/>
      <c r="I31" s="525"/>
      <c r="J31" s="525"/>
      <c r="K31" s="329" t="s">
        <v>473</v>
      </c>
      <c r="L31" s="329" t="s">
        <v>474</v>
      </c>
      <c r="M31" s="329" t="s">
        <v>464</v>
      </c>
      <c r="N31" s="512"/>
    </row>
    <row r="32" spans="1:14">
      <c r="A32" s="510"/>
      <c r="B32" s="511"/>
      <c r="C32" s="511"/>
      <c r="D32" s="511"/>
      <c r="E32" s="511"/>
      <c r="F32" s="511"/>
      <c r="G32" s="511"/>
      <c r="H32" s="511"/>
      <c r="I32" s="511"/>
      <c r="J32" s="511"/>
      <c r="K32" s="312"/>
      <c r="L32" s="330"/>
      <c r="M32" s="330"/>
      <c r="N32" s="512"/>
    </row>
    <row r="33" spans="1:14" ht="13.5" thickBot="1">
      <c r="A33" s="522"/>
      <c r="B33" s="523"/>
      <c r="C33" s="523"/>
      <c r="D33" s="523"/>
      <c r="E33" s="523"/>
      <c r="F33" s="523"/>
      <c r="G33" s="523"/>
      <c r="H33" s="523"/>
      <c r="I33" s="523"/>
      <c r="J33" s="523"/>
      <c r="K33" s="331"/>
      <c r="L33" s="316"/>
      <c r="M33" s="316"/>
      <c r="N33" s="512"/>
    </row>
    <row r="34" spans="1:14" ht="13.5" thickBot="1">
      <c r="A34" s="520" t="s">
        <v>542</v>
      </c>
      <c r="B34" s="521"/>
      <c r="C34" s="521"/>
      <c r="D34" s="521"/>
      <c r="E34" s="521"/>
      <c r="F34" s="521"/>
      <c r="G34" s="521"/>
      <c r="H34" s="521"/>
      <c r="I34" s="521"/>
      <c r="J34" s="521"/>
      <c r="K34" s="332">
        <f>SUM(K32:K33)</f>
        <v>0</v>
      </c>
      <c r="L34" s="332">
        <f>SUM(L32:L33)</f>
        <v>0</v>
      </c>
      <c r="M34" s="332">
        <f>SUM(M32:M33)</f>
        <v>0</v>
      </c>
      <c r="N34" s="512"/>
    </row>
    <row r="35" spans="1:14">
      <c r="N35" s="512"/>
    </row>
    <row r="50" spans="1:1">
      <c r="A50" s="32"/>
    </row>
  </sheetData>
  <sheetProtection sheet="1"/>
  <mergeCells count="24">
    <mergeCell ref="A32:J32"/>
    <mergeCell ref="N4:N35"/>
    <mergeCell ref="L5:M5"/>
    <mergeCell ref="A6:A9"/>
    <mergeCell ref="B6:I6"/>
    <mergeCell ref="J6:M8"/>
    <mergeCell ref="A34:J34"/>
    <mergeCell ref="A33:J33"/>
    <mergeCell ref="A31:J31"/>
    <mergeCell ref="H9:I9"/>
    <mergeCell ref="A27:M27"/>
    <mergeCell ref="C7:C8"/>
    <mergeCell ref="B9:C9"/>
    <mergeCell ref="L30:M30"/>
    <mergeCell ref="A29:M29"/>
    <mergeCell ref="D9:E9"/>
    <mergeCell ref="A1:M1"/>
    <mergeCell ref="A2:M2"/>
    <mergeCell ref="A3:M3"/>
    <mergeCell ref="F9:G9"/>
    <mergeCell ref="A4:C4"/>
    <mergeCell ref="B7:B8"/>
    <mergeCell ref="D4:M4"/>
    <mergeCell ref="D7:I7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>
    <oddHeader xml:space="preserve">&amp;C&amp;"Times New Roman CE,Félkövér"&amp;12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4">
    <tabColor rgb="FFC00000"/>
  </sheetPr>
  <dimension ref="A1:K158"/>
  <sheetViews>
    <sheetView zoomScale="120" zoomScaleNormal="120" zoomScaleSheetLayoutView="100" workbookViewId="0">
      <selection activeCell="C30" sqref="C30"/>
    </sheetView>
  </sheetViews>
  <sheetFormatPr defaultRowHeight="12.75"/>
  <cols>
    <col min="1" max="1" width="16.1640625" style="178" customWidth="1"/>
    <col min="2" max="2" width="63.83203125" style="179" customWidth="1"/>
    <col min="3" max="3" width="14.1640625" style="180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408"/>
      <c r="B1" s="534" t="str">
        <f>CONCATENATE("9.1. melléklet ",IB_ALAPADATOK!A7," ",IB_ALAPADATOK!B7," ",IB_ALAPADATOK!C7," ",IB_ALAPADATOK!D7)</f>
        <v xml:space="preserve">9.1. melléklet a 7/2019.(X.09.)  önkormányzati rendelethez </v>
      </c>
      <c r="C1" s="535"/>
      <c r="D1" s="535"/>
      <c r="E1" s="535"/>
    </row>
    <row r="2" spans="1:5" s="51" customFormat="1" ht="21.2" customHeight="1" thickBot="1">
      <c r="A2" s="417" t="s">
        <v>48</v>
      </c>
      <c r="B2" s="533" t="str">
        <f>CONCATENATE(IB_ALAPADATOK!A3)</f>
        <v>BORSODNÁDASD VÁROS ÖNKORMÁNYZATA</v>
      </c>
      <c r="C2" s="533"/>
      <c r="D2" s="533"/>
      <c r="E2" s="418" t="s">
        <v>42</v>
      </c>
    </row>
    <row r="3" spans="1:5" s="51" customFormat="1" ht="24.75" thickBot="1">
      <c r="A3" s="417" t="s">
        <v>141</v>
      </c>
      <c r="B3" s="533" t="s">
        <v>319</v>
      </c>
      <c r="C3" s="533"/>
      <c r="D3" s="533"/>
      <c r="E3" s="419" t="s">
        <v>42</v>
      </c>
    </row>
    <row r="4" spans="1:5" s="52" customFormat="1" ht="15.95" customHeight="1" thickBot="1">
      <c r="A4" s="411"/>
      <c r="B4" s="411"/>
      <c r="C4" s="412"/>
      <c r="D4" s="413"/>
      <c r="E4" s="422" t="str">
        <f>IB_4.sz.mell.!G4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47" customFormat="1" ht="12.95" customHeight="1" thickBot="1">
      <c r="A6" s="84" t="s">
        <v>404</v>
      </c>
      <c r="B6" s="85" t="s">
        <v>405</v>
      </c>
      <c r="C6" s="85" t="s">
        <v>406</v>
      </c>
      <c r="D6" s="333" t="s">
        <v>408</v>
      </c>
      <c r="E6" s="86" t="s">
        <v>407</v>
      </c>
    </row>
    <row r="7" spans="1:5" s="47" customFormat="1" ht="15.95" customHeight="1" thickBot="1">
      <c r="A7" s="530" t="s">
        <v>43</v>
      </c>
      <c r="B7" s="531"/>
      <c r="C7" s="531"/>
      <c r="D7" s="531"/>
      <c r="E7" s="532"/>
    </row>
    <row r="8" spans="1:5" s="47" customFormat="1" ht="12" customHeight="1" thickBot="1">
      <c r="A8" s="25" t="s">
        <v>9</v>
      </c>
      <c r="B8" s="19" t="s">
        <v>175</v>
      </c>
      <c r="C8" s="185">
        <f>+C9+C10+C11+C12+C13+C14</f>
        <v>306357706</v>
      </c>
      <c r="D8" s="273">
        <f>+D9+D10+D11+D12+D13+D14</f>
        <v>314679085</v>
      </c>
      <c r="E8" s="121">
        <f>+E9+E10+E11+E12+E13+E14</f>
        <v>166864604</v>
      </c>
    </row>
    <row r="9" spans="1:5" s="53" customFormat="1" ht="12" customHeight="1">
      <c r="A9" s="215" t="s">
        <v>67</v>
      </c>
      <c r="B9" s="198" t="s">
        <v>176</v>
      </c>
      <c r="C9" s="187">
        <v>141842122</v>
      </c>
      <c r="D9" s="274">
        <v>141842122</v>
      </c>
      <c r="E9" s="123">
        <v>73753225</v>
      </c>
    </row>
    <row r="10" spans="1:5" s="54" customFormat="1" ht="12" customHeight="1">
      <c r="A10" s="216" t="s">
        <v>68</v>
      </c>
      <c r="B10" s="199" t="s">
        <v>177</v>
      </c>
      <c r="C10" s="186">
        <v>56461300</v>
      </c>
      <c r="D10" s="275">
        <v>56461300</v>
      </c>
      <c r="E10" s="122">
        <v>28601771</v>
      </c>
    </row>
    <row r="11" spans="1:5" s="54" customFormat="1" ht="12" customHeight="1">
      <c r="A11" s="216" t="s">
        <v>69</v>
      </c>
      <c r="B11" s="199" t="s">
        <v>178</v>
      </c>
      <c r="C11" s="186">
        <v>104266984</v>
      </c>
      <c r="D11" s="275">
        <v>106451677</v>
      </c>
      <c r="E11" s="122">
        <v>56403526</v>
      </c>
    </row>
    <row r="12" spans="1:5" s="54" customFormat="1" ht="12" customHeight="1">
      <c r="A12" s="216" t="s">
        <v>70</v>
      </c>
      <c r="B12" s="199" t="s">
        <v>179</v>
      </c>
      <c r="C12" s="186">
        <v>3787300</v>
      </c>
      <c r="D12" s="275">
        <v>4043986</v>
      </c>
      <c r="E12" s="122">
        <v>2226082</v>
      </c>
    </row>
    <row r="13" spans="1:5" s="54" customFormat="1" ht="12" customHeight="1">
      <c r="A13" s="216" t="s">
        <v>102</v>
      </c>
      <c r="B13" s="199" t="s">
        <v>412</v>
      </c>
      <c r="C13" s="186"/>
      <c r="D13" s="275">
        <v>5880000</v>
      </c>
      <c r="E13" s="122">
        <v>5880000</v>
      </c>
    </row>
    <row r="14" spans="1:5" s="53" customFormat="1" ht="12" customHeight="1" thickBot="1">
      <c r="A14" s="217" t="s">
        <v>71</v>
      </c>
      <c r="B14" s="200" t="s">
        <v>350</v>
      </c>
      <c r="C14" s="186"/>
      <c r="D14" s="275"/>
      <c r="E14" s="122"/>
    </row>
    <row r="15" spans="1:5" s="53" customFormat="1" ht="12" customHeight="1" thickBot="1">
      <c r="A15" s="25" t="s">
        <v>10</v>
      </c>
      <c r="B15" s="128" t="s">
        <v>180</v>
      </c>
      <c r="C15" s="185">
        <f>+C16+C17+C18+C19+C20</f>
        <v>16055000</v>
      </c>
      <c r="D15" s="273">
        <f>+D16+D17+D18+D19+D20</f>
        <v>71400000</v>
      </c>
      <c r="E15" s="121">
        <f>+E16+E17+E18+E19+E20</f>
        <v>68746369</v>
      </c>
    </row>
    <row r="16" spans="1:5" s="53" customFormat="1" ht="12" customHeight="1">
      <c r="A16" s="215" t="s">
        <v>73</v>
      </c>
      <c r="B16" s="198" t="s">
        <v>181</v>
      </c>
      <c r="C16" s="187"/>
      <c r="D16" s="274"/>
      <c r="E16" s="123"/>
    </row>
    <row r="17" spans="1:5" s="53" customFormat="1" ht="12" customHeight="1">
      <c r="A17" s="216" t="s">
        <v>74</v>
      </c>
      <c r="B17" s="199" t="s">
        <v>182</v>
      </c>
      <c r="C17" s="186"/>
      <c r="D17" s="275"/>
      <c r="E17" s="122"/>
    </row>
    <row r="18" spans="1:5" s="53" customFormat="1" ht="12" customHeight="1">
      <c r="A18" s="216" t="s">
        <v>75</v>
      </c>
      <c r="B18" s="199" t="s">
        <v>341</v>
      </c>
      <c r="C18" s="186"/>
      <c r="D18" s="275"/>
      <c r="E18" s="122"/>
    </row>
    <row r="19" spans="1:5" s="53" customFormat="1" ht="12" customHeight="1">
      <c r="A19" s="216" t="s">
        <v>76</v>
      </c>
      <c r="B19" s="199" t="s">
        <v>342</v>
      </c>
      <c r="C19" s="186"/>
      <c r="D19" s="275"/>
      <c r="E19" s="122"/>
    </row>
    <row r="20" spans="1:5" s="53" customFormat="1" ht="12" customHeight="1">
      <c r="A20" s="216" t="s">
        <v>77</v>
      </c>
      <c r="B20" s="199" t="s">
        <v>183</v>
      </c>
      <c r="C20" s="186">
        <v>16055000</v>
      </c>
      <c r="D20" s="275">
        <v>71400000</v>
      </c>
      <c r="E20" s="122">
        <v>68746369</v>
      </c>
    </row>
    <row r="21" spans="1:5" s="54" customFormat="1" ht="12" customHeight="1" thickBot="1">
      <c r="A21" s="217" t="s">
        <v>84</v>
      </c>
      <c r="B21" s="200" t="s">
        <v>184</v>
      </c>
      <c r="C21" s="188"/>
      <c r="D21" s="276"/>
      <c r="E21" s="124"/>
    </row>
    <row r="22" spans="1:5" s="54" customFormat="1" ht="12" customHeight="1" thickBot="1">
      <c r="A22" s="25" t="s">
        <v>11</v>
      </c>
      <c r="B22" s="19" t="s">
        <v>185</v>
      </c>
      <c r="C22" s="185">
        <f>+C23+C24+C25+C26+C27</f>
        <v>0</v>
      </c>
      <c r="D22" s="273">
        <f>+D23+D24+D25+D26+D27</f>
        <v>2287000</v>
      </c>
      <c r="E22" s="121">
        <f>+E23+E24+E25+E26+E27</f>
        <v>1815000</v>
      </c>
    </row>
    <row r="23" spans="1:5" s="54" customFormat="1" ht="12" customHeight="1">
      <c r="A23" s="215" t="s">
        <v>56</v>
      </c>
      <c r="B23" s="198" t="s">
        <v>186</v>
      </c>
      <c r="C23" s="187"/>
      <c r="D23" s="274"/>
      <c r="E23" s="123"/>
    </row>
    <row r="24" spans="1:5" s="53" customFormat="1" ht="12" customHeight="1">
      <c r="A24" s="216" t="s">
        <v>57</v>
      </c>
      <c r="B24" s="199" t="s">
        <v>187</v>
      </c>
      <c r="C24" s="186"/>
      <c r="D24" s="275"/>
      <c r="E24" s="122"/>
    </row>
    <row r="25" spans="1:5" s="54" customFormat="1" ht="12" customHeight="1">
      <c r="A25" s="216" t="s">
        <v>58</v>
      </c>
      <c r="B25" s="199" t="s">
        <v>343</v>
      </c>
      <c r="C25" s="186"/>
      <c r="D25" s="275">
        <v>1287000</v>
      </c>
      <c r="E25" s="122">
        <v>815000</v>
      </c>
    </row>
    <row r="26" spans="1:5" s="54" customFormat="1" ht="12" customHeight="1">
      <c r="A26" s="216" t="s">
        <v>59</v>
      </c>
      <c r="B26" s="199" t="s">
        <v>344</v>
      </c>
      <c r="C26" s="186"/>
      <c r="D26" s="275"/>
      <c r="E26" s="122"/>
    </row>
    <row r="27" spans="1:5" s="54" customFormat="1" ht="12" customHeight="1">
      <c r="A27" s="216" t="s">
        <v>116</v>
      </c>
      <c r="B27" s="199" t="s">
        <v>188</v>
      </c>
      <c r="C27" s="186"/>
      <c r="D27" s="275">
        <v>1000000</v>
      </c>
      <c r="E27" s="122">
        <v>1000000</v>
      </c>
    </row>
    <row r="28" spans="1:5" s="54" customFormat="1" ht="12" customHeight="1" thickBot="1">
      <c r="A28" s="217" t="s">
        <v>117</v>
      </c>
      <c r="B28" s="200" t="s">
        <v>189</v>
      </c>
      <c r="C28" s="188"/>
      <c r="D28" s="276"/>
      <c r="E28" s="124"/>
    </row>
    <row r="29" spans="1:5" s="54" customFormat="1" ht="12" customHeight="1" thickBot="1">
      <c r="A29" s="25" t="s">
        <v>118</v>
      </c>
      <c r="B29" s="19" t="s">
        <v>502</v>
      </c>
      <c r="C29" s="191">
        <f>SUM(C30:C36)</f>
        <v>25084500</v>
      </c>
      <c r="D29" s="191">
        <f>SUM(D30:D36)</f>
        <v>30153987</v>
      </c>
      <c r="E29" s="227">
        <f>SUM(E30:E36)</f>
        <v>10873138</v>
      </c>
    </row>
    <row r="30" spans="1:5" s="54" customFormat="1" ht="12" customHeight="1">
      <c r="A30" s="215" t="s">
        <v>190</v>
      </c>
      <c r="B30" s="198" t="s">
        <v>503</v>
      </c>
      <c r="C30" s="187"/>
      <c r="D30" s="187"/>
      <c r="E30" s="123"/>
    </row>
    <row r="31" spans="1:5" s="54" customFormat="1" ht="12" customHeight="1">
      <c r="A31" s="216" t="s">
        <v>191</v>
      </c>
      <c r="B31" s="199" t="s">
        <v>504</v>
      </c>
      <c r="C31" s="186"/>
      <c r="D31" s="186"/>
      <c r="E31" s="122"/>
    </row>
    <row r="32" spans="1:5" s="54" customFormat="1" ht="12" customHeight="1">
      <c r="A32" s="216" t="s">
        <v>192</v>
      </c>
      <c r="B32" s="199" t="s">
        <v>505</v>
      </c>
      <c r="C32" s="186">
        <v>19250000</v>
      </c>
      <c r="D32" s="186">
        <v>23982470</v>
      </c>
      <c r="E32" s="122">
        <v>8093610</v>
      </c>
    </row>
    <row r="33" spans="1:5" s="54" customFormat="1" ht="12" customHeight="1">
      <c r="A33" s="216" t="s">
        <v>193</v>
      </c>
      <c r="B33" s="199" t="s">
        <v>506</v>
      </c>
      <c r="C33" s="186"/>
      <c r="D33" s="186"/>
      <c r="E33" s="122"/>
    </row>
    <row r="34" spans="1:5" s="54" customFormat="1" ht="12" customHeight="1">
      <c r="A34" s="216" t="s">
        <v>507</v>
      </c>
      <c r="B34" s="199" t="s">
        <v>194</v>
      </c>
      <c r="C34" s="186">
        <v>5788500</v>
      </c>
      <c r="D34" s="186">
        <v>5788500</v>
      </c>
      <c r="E34" s="122">
        <v>2652003</v>
      </c>
    </row>
    <row r="35" spans="1:5" s="54" customFormat="1" ht="12" customHeight="1">
      <c r="A35" s="216" t="s">
        <v>508</v>
      </c>
      <c r="B35" s="199" t="s">
        <v>596</v>
      </c>
      <c r="C35" s="186"/>
      <c r="D35" s="186"/>
      <c r="E35" s="122"/>
    </row>
    <row r="36" spans="1:5" s="54" customFormat="1" ht="12" customHeight="1" thickBot="1">
      <c r="A36" s="217" t="s">
        <v>509</v>
      </c>
      <c r="B36" s="349" t="s">
        <v>195</v>
      </c>
      <c r="C36" s="188">
        <v>46000</v>
      </c>
      <c r="D36" s="188">
        <v>383017</v>
      </c>
      <c r="E36" s="124">
        <v>127525</v>
      </c>
    </row>
    <row r="37" spans="1:5" s="54" customFormat="1" ht="12" customHeight="1" thickBot="1">
      <c r="A37" s="25" t="s">
        <v>13</v>
      </c>
      <c r="B37" s="19" t="s">
        <v>351</v>
      </c>
      <c r="C37" s="185">
        <f>SUM(C38:C48)</f>
        <v>16861000</v>
      </c>
      <c r="D37" s="273">
        <f>SUM(D38:D48)</f>
        <v>25972105</v>
      </c>
      <c r="E37" s="121">
        <f>SUM(E38:E48)</f>
        <v>20508940</v>
      </c>
    </row>
    <row r="38" spans="1:5" s="54" customFormat="1" ht="12" customHeight="1">
      <c r="A38" s="215" t="s">
        <v>60</v>
      </c>
      <c r="B38" s="198" t="s">
        <v>198</v>
      </c>
      <c r="C38" s="187">
        <v>3814000</v>
      </c>
      <c r="D38" s="274">
        <v>3814000</v>
      </c>
      <c r="E38" s="123">
        <v>774351</v>
      </c>
    </row>
    <row r="39" spans="1:5" s="54" customFormat="1" ht="12" customHeight="1">
      <c r="A39" s="216" t="s">
        <v>61</v>
      </c>
      <c r="B39" s="199" t="s">
        <v>199</v>
      </c>
      <c r="C39" s="186">
        <v>9427000</v>
      </c>
      <c r="D39" s="275">
        <v>15334621</v>
      </c>
      <c r="E39" s="122">
        <v>14096020</v>
      </c>
    </row>
    <row r="40" spans="1:5" s="54" customFormat="1" ht="12" customHeight="1">
      <c r="A40" s="216" t="s">
        <v>62</v>
      </c>
      <c r="B40" s="199" t="s">
        <v>200</v>
      </c>
      <c r="C40" s="186"/>
      <c r="D40" s="275">
        <v>125136</v>
      </c>
      <c r="E40" s="122">
        <v>125136</v>
      </c>
    </row>
    <row r="41" spans="1:5" s="54" customFormat="1" ht="12" customHeight="1">
      <c r="A41" s="216" t="s">
        <v>120</v>
      </c>
      <c r="B41" s="199" t="s">
        <v>201</v>
      </c>
      <c r="C41" s="186"/>
      <c r="D41" s="275"/>
      <c r="E41" s="122"/>
    </row>
    <row r="42" spans="1:5" s="54" customFormat="1" ht="12" customHeight="1">
      <c r="A42" s="216" t="s">
        <v>121</v>
      </c>
      <c r="B42" s="199" t="s">
        <v>202</v>
      </c>
      <c r="C42" s="186"/>
      <c r="D42" s="275"/>
      <c r="E42" s="122"/>
    </row>
    <row r="43" spans="1:5" s="54" customFormat="1" ht="12" customHeight="1">
      <c r="A43" s="216" t="s">
        <v>122</v>
      </c>
      <c r="B43" s="199" t="s">
        <v>203</v>
      </c>
      <c r="C43" s="186">
        <v>3575000</v>
      </c>
      <c r="D43" s="275">
        <v>3575000</v>
      </c>
      <c r="E43" s="122">
        <v>2988640</v>
      </c>
    </row>
    <row r="44" spans="1:5" s="54" customFormat="1" ht="12" customHeight="1">
      <c r="A44" s="216" t="s">
        <v>123</v>
      </c>
      <c r="B44" s="199" t="s">
        <v>204</v>
      </c>
      <c r="C44" s="186"/>
      <c r="D44" s="275"/>
      <c r="E44" s="122"/>
    </row>
    <row r="45" spans="1:5" s="54" customFormat="1" ht="12" customHeight="1">
      <c r="A45" s="216" t="s">
        <v>124</v>
      </c>
      <c r="B45" s="199" t="s">
        <v>510</v>
      </c>
      <c r="C45" s="186">
        <v>45000</v>
      </c>
      <c r="D45" s="275">
        <v>48267</v>
      </c>
      <c r="E45" s="122">
        <v>24712</v>
      </c>
    </row>
    <row r="46" spans="1:5" s="54" customFormat="1" ht="12" customHeight="1">
      <c r="A46" s="216" t="s">
        <v>196</v>
      </c>
      <c r="B46" s="199" t="s">
        <v>206</v>
      </c>
      <c r="C46" s="189"/>
      <c r="D46" s="334">
        <v>282540</v>
      </c>
      <c r="E46" s="125">
        <v>282540</v>
      </c>
    </row>
    <row r="47" spans="1:5" s="54" customFormat="1" ht="12" customHeight="1">
      <c r="A47" s="217" t="s">
        <v>197</v>
      </c>
      <c r="B47" s="200" t="s">
        <v>353</v>
      </c>
      <c r="C47" s="190"/>
      <c r="D47" s="335">
        <v>124139</v>
      </c>
      <c r="E47" s="126">
        <v>124139</v>
      </c>
    </row>
    <row r="48" spans="1:5" s="54" customFormat="1" ht="12" customHeight="1" thickBot="1">
      <c r="A48" s="217" t="s">
        <v>352</v>
      </c>
      <c r="B48" s="200" t="s">
        <v>207</v>
      </c>
      <c r="C48" s="190"/>
      <c r="D48" s="335">
        <v>2668402</v>
      </c>
      <c r="E48" s="126">
        <v>2093402</v>
      </c>
    </row>
    <row r="49" spans="1:5" s="54" customFormat="1" ht="12" customHeight="1" thickBot="1">
      <c r="A49" s="25" t="s">
        <v>14</v>
      </c>
      <c r="B49" s="19" t="s">
        <v>208</v>
      </c>
      <c r="C49" s="185">
        <f>SUM(C50:C54)</f>
        <v>0</v>
      </c>
      <c r="D49" s="273">
        <f>SUM(D50:D54)</f>
        <v>0</v>
      </c>
      <c r="E49" s="121">
        <f>SUM(E50:E54)</f>
        <v>0</v>
      </c>
    </row>
    <row r="50" spans="1:5" s="54" customFormat="1" ht="12" customHeight="1">
      <c r="A50" s="215" t="s">
        <v>63</v>
      </c>
      <c r="B50" s="198" t="s">
        <v>212</v>
      </c>
      <c r="C50" s="238"/>
      <c r="D50" s="336"/>
      <c r="E50" s="127"/>
    </row>
    <row r="51" spans="1:5" s="54" customFormat="1" ht="12" customHeight="1">
      <c r="A51" s="216" t="s">
        <v>64</v>
      </c>
      <c r="B51" s="199" t="s">
        <v>213</v>
      </c>
      <c r="C51" s="189"/>
      <c r="D51" s="334"/>
      <c r="E51" s="125"/>
    </row>
    <row r="52" spans="1:5" s="54" customFormat="1" ht="12" customHeight="1">
      <c r="A52" s="216" t="s">
        <v>209</v>
      </c>
      <c r="B52" s="199" t="s">
        <v>214</v>
      </c>
      <c r="C52" s="189"/>
      <c r="D52" s="334"/>
      <c r="E52" s="125"/>
    </row>
    <row r="53" spans="1:5" s="54" customFormat="1" ht="12" customHeight="1">
      <c r="A53" s="216" t="s">
        <v>210</v>
      </c>
      <c r="B53" s="199" t="s">
        <v>215</v>
      </c>
      <c r="C53" s="189"/>
      <c r="D53" s="334"/>
      <c r="E53" s="125"/>
    </row>
    <row r="54" spans="1:5" s="54" customFormat="1" ht="12" customHeight="1" thickBot="1">
      <c r="A54" s="217" t="s">
        <v>211</v>
      </c>
      <c r="B54" s="200" t="s">
        <v>216</v>
      </c>
      <c r="C54" s="190"/>
      <c r="D54" s="335"/>
      <c r="E54" s="126"/>
    </row>
    <row r="55" spans="1:5" s="54" customFormat="1" ht="12" customHeight="1" thickBot="1">
      <c r="A55" s="25" t="s">
        <v>125</v>
      </c>
      <c r="B55" s="19" t="s">
        <v>217</v>
      </c>
      <c r="C55" s="185">
        <f>SUM(C56:C58)</f>
        <v>0</v>
      </c>
      <c r="D55" s="273">
        <f>SUM(D56:D58)</f>
        <v>0</v>
      </c>
      <c r="E55" s="121">
        <f>SUM(E56:E58)</f>
        <v>0</v>
      </c>
    </row>
    <row r="56" spans="1:5" s="54" customFormat="1" ht="12" customHeight="1">
      <c r="A56" s="215" t="s">
        <v>65</v>
      </c>
      <c r="B56" s="198" t="s">
        <v>218</v>
      </c>
      <c r="C56" s="187"/>
      <c r="D56" s="274"/>
      <c r="E56" s="123"/>
    </row>
    <row r="57" spans="1:5" s="54" customFormat="1" ht="12" customHeight="1">
      <c r="A57" s="216" t="s">
        <v>66</v>
      </c>
      <c r="B57" s="199" t="s">
        <v>345</v>
      </c>
      <c r="C57" s="186"/>
      <c r="D57" s="275"/>
      <c r="E57" s="122"/>
    </row>
    <row r="58" spans="1:5" s="54" customFormat="1" ht="12" customHeight="1">
      <c r="A58" s="216" t="s">
        <v>221</v>
      </c>
      <c r="B58" s="199" t="s">
        <v>219</v>
      </c>
      <c r="C58" s="186"/>
      <c r="D58" s="275"/>
      <c r="E58" s="122"/>
    </row>
    <row r="59" spans="1:5" s="54" customFormat="1" ht="12" customHeight="1" thickBot="1">
      <c r="A59" s="217" t="s">
        <v>222</v>
      </c>
      <c r="B59" s="200" t="s">
        <v>220</v>
      </c>
      <c r="C59" s="188"/>
      <c r="D59" s="276"/>
      <c r="E59" s="124"/>
    </row>
    <row r="60" spans="1:5" s="54" customFormat="1" ht="12" customHeight="1" thickBot="1">
      <c r="A60" s="25" t="s">
        <v>16</v>
      </c>
      <c r="B60" s="128" t="s">
        <v>223</v>
      </c>
      <c r="C60" s="185">
        <f>SUM(C61:C63)</f>
        <v>0</v>
      </c>
      <c r="D60" s="273">
        <f>SUM(D61:D63)</f>
        <v>966322710</v>
      </c>
      <c r="E60" s="121">
        <f>SUM(E61:E63)</f>
        <v>966322710</v>
      </c>
    </row>
    <row r="61" spans="1:5" s="54" customFormat="1" ht="12" customHeight="1">
      <c r="A61" s="215" t="s">
        <v>126</v>
      </c>
      <c r="B61" s="198" t="s">
        <v>225</v>
      </c>
      <c r="C61" s="189"/>
      <c r="D61" s="334"/>
      <c r="E61" s="125"/>
    </row>
    <row r="62" spans="1:5" s="54" customFormat="1" ht="12" customHeight="1">
      <c r="A62" s="216" t="s">
        <v>127</v>
      </c>
      <c r="B62" s="199" t="s">
        <v>346</v>
      </c>
      <c r="C62" s="189"/>
      <c r="D62" s="334"/>
      <c r="E62" s="125"/>
    </row>
    <row r="63" spans="1:5" s="54" customFormat="1" ht="12" customHeight="1">
      <c r="A63" s="216" t="s">
        <v>158</v>
      </c>
      <c r="B63" s="199" t="s">
        <v>226</v>
      </c>
      <c r="C63" s="189"/>
      <c r="D63" s="334">
        <v>966322710</v>
      </c>
      <c r="E63" s="125">
        <v>966322710</v>
      </c>
    </row>
    <row r="64" spans="1:5" s="54" customFormat="1" ht="12" customHeight="1" thickBot="1">
      <c r="A64" s="217" t="s">
        <v>224</v>
      </c>
      <c r="B64" s="200" t="s">
        <v>227</v>
      </c>
      <c r="C64" s="189"/>
      <c r="D64" s="334"/>
      <c r="E64" s="125"/>
    </row>
    <row r="65" spans="1:5" s="54" customFormat="1" ht="12" customHeight="1" thickBot="1">
      <c r="A65" s="25" t="s">
        <v>17</v>
      </c>
      <c r="B65" s="19" t="s">
        <v>228</v>
      </c>
      <c r="C65" s="191">
        <f>+C8+C15+C22+C29+C37+C49+C55+C60</f>
        <v>364358206</v>
      </c>
      <c r="D65" s="277">
        <f>+D8+D15+D22+D29+D37+D49+D55+D60</f>
        <v>1410814887</v>
      </c>
      <c r="E65" s="227">
        <f>+E8+E15+E22+E29+E37+E49+E55+E60</f>
        <v>1235130761</v>
      </c>
    </row>
    <row r="66" spans="1:5" s="54" customFormat="1" ht="12" customHeight="1" thickBot="1">
      <c r="A66" s="218" t="s">
        <v>315</v>
      </c>
      <c r="B66" s="128" t="s">
        <v>230</v>
      </c>
      <c r="C66" s="185">
        <f>SUM(C67:C69)</f>
        <v>0</v>
      </c>
      <c r="D66" s="273">
        <f>SUM(D67:D69)</f>
        <v>0</v>
      </c>
      <c r="E66" s="121">
        <f>SUM(E67:E69)</f>
        <v>0</v>
      </c>
    </row>
    <row r="67" spans="1:5" s="54" customFormat="1" ht="12" customHeight="1">
      <c r="A67" s="215" t="s">
        <v>258</v>
      </c>
      <c r="B67" s="198" t="s">
        <v>231</v>
      </c>
      <c r="C67" s="189"/>
      <c r="D67" s="334"/>
      <c r="E67" s="125"/>
    </row>
    <row r="68" spans="1:5" s="54" customFormat="1" ht="12" customHeight="1">
      <c r="A68" s="216" t="s">
        <v>267</v>
      </c>
      <c r="B68" s="199" t="s">
        <v>232</v>
      </c>
      <c r="C68" s="189"/>
      <c r="D68" s="334"/>
      <c r="E68" s="125"/>
    </row>
    <row r="69" spans="1:5" s="54" customFormat="1" ht="12" customHeight="1" thickBot="1">
      <c r="A69" s="225" t="s">
        <v>268</v>
      </c>
      <c r="B69" s="405" t="s">
        <v>378</v>
      </c>
      <c r="C69" s="406"/>
      <c r="D69" s="337"/>
      <c r="E69" s="407"/>
    </row>
    <row r="70" spans="1:5" s="54" customFormat="1" ht="12" customHeight="1" thickBot="1">
      <c r="A70" s="218" t="s">
        <v>234</v>
      </c>
      <c r="B70" s="128" t="s">
        <v>235</v>
      </c>
      <c r="C70" s="185">
        <f>SUM(C71:C74)</f>
        <v>0</v>
      </c>
      <c r="D70" s="185">
        <f>SUM(D71:D74)</f>
        <v>30000000</v>
      </c>
      <c r="E70" s="121">
        <f>SUM(E71:E74)</f>
        <v>30000000</v>
      </c>
    </row>
    <row r="71" spans="1:5" s="54" customFormat="1" ht="12" customHeight="1">
      <c r="A71" s="215" t="s">
        <v>103</v>
      </c>
      <c r="B71" s="388" t="s">
        <v>236</v>
      </c>
      <c r="C71" s="189"/>
      <c r="D71" s="189"/>
      <c r="E71" s="125"/>
    </row>
    <row r="72" spans="1:5" s="54" customFormat="1" ht="12" customHeight="1">
      <c r="A72" s="216" t="s">
        <v>104</v>
      </c>
      <c r="B72" s="388" t="s">
        <v>517</v>
      </c>
      <c r="C72" s="189"/>
      <c r="D72" s="189"/>
      <c r="E72" s="125"/>
    </row>
    <row r="73" spans="1:5" s="54" customFormat="1" ht="12" customHeight="1">
      <c r="A73" s="216" t="s">
        <v>259</v>
      </c>
      <c r="B73" s="388" t="s">
        <v>237</v>
      </c>
      <c r="C73" s="189"/>
      <c r="D73" s="189">
        <v>30000000</v>
      </c>
      <c r="E73" s="125">
        <v>30000000</v>
      </c>
    </row>
    <row r="74" spans="1:5" s="54" customFormat="1" ht="12" customHeight="1" thickBot="1">
      <c r="A74" s="217" t="s">
        <v>260</v>
      </c>
      <c r="B74" s="389" t="s">
        <v>518</v>
      </c>
      <c r="C74" s="189"/>
      <c r="D74" s="189"/>
      <c r="E74" s="125"/>
    </row>
    <row r="75" spans="1:5" s="54" customFormat="1" ht="12" customHeight="1" thickBot="1">
      <c r="A75" s="218" t="s">
        <v>238</v>
      </c>
      <c r="B75" s="128" t="s">
        <v>239</v>
      </c>
      <c r="C75" s="185">
        <f>SUM(C76:C77)</f>
        <v>647888694</v>
      </c>
      <c r="D75" s="185">
        <f>SUM(D76:D77)</f>
        <v>1278366696</v>
      </c>
      <c r="E75" s="121">
        <f>SUM(E76:E77)</f>
        <v>1278366696</v>
      </c>
    </row>
    <row r="76" spans="1:5" s="54" customFormat="1" ht="12" customHeight="1">
      <c r="A76" s="215" t="s">
        <v>261</v>
      </c>
      <c r="B76" s="198" t="s">
        <v>240</v>
      </c>
      <c r="C76" s="189">
        <v>647888694</v>
      </c>
      <c r="D76" s="189">
        <v>1278366696</v>
      </c>
      <c r="E76" s="125">
        <v>1278366696</v>
      </c>
    </row>
    <row r="77" spans="1:5" s="54" customFormat="1" ht="12" customHeight="1" thickBot="1">
      <c r="A77" s="217" t="s">
        <v>262</v>
      </c>
      <c r="B77" s="200" t="s">
        <v>241</v>
      </c>
      <c r="C77" s="189"/>
      <c r="D77" s="189"/>
      <c r="E77" s="125"/>
    </row>
    <row r="78" spans="1:5" s="53" customFormat="1" ht="12" customHeight="1" thickBot="1">
      <c r="A78" s="218" t="s">
        <v>242</v>
      </c>
      <c r="B78" s="128" t="s">
        <v>243</v>
      </c>
      <c r="C78" s="185">
        <f>SUM(C79:C81)</f>
        <v>100000000</v>
      </c>
      <c r="D78" s="185">
        <f>SUM(D79:D81)</f>
        <v>0</v>
      </c>
      <c r="E78" s="121">
        <f>SUM(E79:E81)</f>
        <v>0</v>
      </c>
    </row>
    <row r="79" spans="1:5" s="54" customFormat="1" ht="12" customHeight="1">
      <c r="A79" s="215" t="s">
        <v>263</v>
      </c>
      <c r="B79" s="198" t="s">
        <v>244</v>
      </c>
      <c r="C79" s="189"/>
      <c r="D79" s="189"/>
      <c r="E79" s="125"/>
    </row>
    <row r="80" spans="1:5" s="54" customFormat="1" ht="12" customHeight="1">
      <c r="A80" s="216" t="s">
        <v>264</v>
      </c>
      <c r="B80" s="199" t="s">
        <v>245</v>
      </c>
      <c r="C80" s="189"/>
      <c r="D80" s="189"/>
      <c r="E80" s="125"/>
    </row>
    <row r="81" spans="1:5" s="54" customFormat="1" ht="12" customHeight="1" thickBot="1">
      <c r="A81" s="217" t="s">
        <v>265</v>
      </c>
      <c r="B81" s="200" t="s">
        <v>519</v>
      </c>
      <c r="C81" s="189">
        <v>100000000</v>
      </c>
      <c r="D81" s="189"/>
      <c r="E81" s="125"/>
    </row>
    <row r="82" spans="1:5" s="54" customFormat="1" ht="12" customHeight="1" thickBot="1">
      <c r="A82" s="218" t="s">
        <v>246</v>
      </c>
      <c r="B82" s="128" t="s">
        <v>266</v>
      </c>
      <c r="C82" s="185">
        <f>SUM(C83:C86)</f>
        <v>0</v>
      </c>
      <c r="D82" s="185">
        <f>SUM(D83:D86)</f>
        <v>0</v>
      </c>
      <c r="E82" s="121">
        <f>SUM(E83:E86)</f>
        <v>0</v>
      </c>
    </row>
    <row r="83" spans="1:5" s="54" customFormat="1" ht="12" customHeight="1">
      <c r="A83" s="219" t="s">
        <v>247</v>
      </c>
      <c r="B83" s="198" t="s">
        <v>248</v>
      </c>
      <c r="C83" s="189"/>
      <c r="D83" s="189"/>
      <c r="E83" s="125"/>
    </row>
    <row r="84" spans="1:5" s="54" customFormat="1" ht="12" customHeight="1">
      <c r="A84" s="220" t="s">
        <v>249</v>
      </c>
      <c r="B84" s="199" t="s">
        <v>250</v>
      </c>
      <c r="C84" s="189"/>
      <c r="D84" s="189"/>
      <c r="E84" s="125"/>
    </row>
    <row r="85" spans="1:5" s="54" customFormat="1" ht="12" customHeight="1">
      <c r="A85" s="220" t="s">
        <v>251</v>
      </c>
      <c r="B85" s="199" t="s">
        <v>252</v>
      </c>
      <c r="C85" s="189"/>
      <c r="D85" s="189"/>
      <c r="E85" s="125"/>
    </row>
    <row r="86" spans="1:5" s="53" customFormat="1" ht="12" customHeight="1" thickBot="1">
      <c r="A86" s="221" t="s">
        <v>253</v>
      </c>
      <c r="B86" s="200" t="s">
        <v>254</v>
      </c>
      <c r="C86" s="189"/>
      <c r="D86" s="189"/>
      <c r="E86" s="125"/>
    </row>
    <row r="87" spans="1:5" s="53" customFormat="1" ht="12" customHeight="1" thickBot="1">
      <c r="A87" s="218" t="s">
        <v>255</v>
      </c>
      <c r="B87" s="128" t="s">
        <v>392</v>
      </c>
      <c r="C87" s="241"/>
      <c r="D87" s="241"/>
      <c r="E87" s="242"/>
    </row>
    <row r="88" spans="1:5" s="53" customFormat="1" ht="12" customHeight="1" thickBot="1">
      <c r="A88" s="218" t="s">
        <v>413</v>
      </c>
      <c r="B88" s="128" t="s">
        <v>256</v>
      </c>
      <c r="C88" s="241"/>
      <c r="D88" s="241"/>
      <c r="E88" s="242"/>
    </row>
    <row r="89" spans="1:5" s="53" customFormat="1" ht="12" customHeight="1" thickBot="1">
      <c r="A89" s="218" t="s">
        <v>414</v>
      </c>
      <c r="B89" s="205" t="s">
        <v>395</v>
      </c>
      <c r="C89" s="191">
        <f>+C66+C70+C75+C78+C82+C88+C87</f>
        <v>747888694</v>
      </c>
      <c r="D89" s="191">
        <f>+D66+D70+D75+D78+D82+D88+D87</f>
        <v>1308366696</v>
      </c>
      <c r="E89" s="227">
        <f>+E66+E70+E75+E78+E82+E88+E87</f>
        <v>1308366696</v>
      </c>
    </row>
    <row r="90" spans="1:5" s="53" customFormat="1" ht="12" customHeight="1" thickBot="1">
      <c r="A90" s="222" t="s">
        <v>415</v>
      </c>
      <c r="B90" s="206" t="s">
        <v>416</v>
      </c>
      <c r="C90" s="191">
        <f>+C65+C89</f>
        <v>1112246900</v>
      </c>
      <c r="D90" s="191">
        <f>+D65+D89</f>
        <v>2719181583</v>
      </c>
      <c r="E90" s="227">
        <f>+E65+E89</f>
        <v>2543497457</v>
      </c>
    </row>
    <row r="91" spans="1:5" s="54" customFormat="1" ht="15.2" customHeight="1" thickBot="1">
      <c r="A91" s="97"/>
      <c r="B91" s="98"/>
      <c r="C91" s="167"/>
    </row>
    <row r="92" spans="1:5" s="47" customFormat="1" ht="16.5" customHeight="1" thickBot="1">
      <c r="A92" s="530" t="s">
        <v>44</v>
      </c>
      <c r="B92" s="531"/>
      <c r="C92" s="531"/>
      <c r="D92" s="531"/>
      <c r="E92" s="532"/>
    </row>
    <row r="93" spans="1:5" s="55" customFormat="1" ht="12" customHeight="1" thickBot="1">
      <c r="A93" s="192" t="s">
        <v>9</v>
      </c>
      <c r="B93" s="24" t="s">
        <v>420</v>
      </c>
      <c r="C93" s="184">
        <f>+C94+C95+C96+C97+C98+C111</f>
        <v>270381873</v>
      </c>
      <c r="D93" s="184">
        <f>+D94+D95+D96+D97+D98+D111</f>
        <v>672394259</v>
      </c>
      <c r="E93" s="256">
        <f>+E94+E95+E96+E97+E98+E111</f>
        <v>434643669</v>
      </c>
    </row>
    <row r="94" spans="1:5" ht="12" customHeight="1">
      <c r="A94" s="223" t="s">
        <v>67</v>
      </c>
      <c r="B94" s="8" t="s">
        <v>38</v>
      </c>
      <c r="C94" s="263">
        <v>48369000</v>
      </c>
      <c r="D94" s="263">
        <v>176199408</v>
      </c>
      <c r="E94" s="257">
        <v>97672895</v>
      </c>
    </row>
    <row r="95" spans="1:5" ht="12" customHeight="1">
      <c r="A95" s="216" t="s">
        <v>68</v>
      </c>
      <c r="B95" s="6" t="s">
        <v>128</v>
      </c>
      <c r="C95" s="186">
        <v>8948300</v>
      </c>
      <c r="D95" s="186">
        <v>36402424</v>
      </c>
      <c r="E95" s="122">
        <v>13724631</v>
      </c>
    </row>
    <row r="96" spans="1:5" ht="12" customHeight="1">
      <c r="A96" s="216" t="s">
        <v>69</v>
      </c>
      <c r="B96" s="6" t="s">
        <v>95</v>
      </c>
      <c r="C96" s="188">
        <v>180815073</v>
      </c>
      <c r="D96" s="186">
        <v>411988498</v>
      </c>
      <c r="E96" s="124">
        <v>293547086</v>
      </c>
    </row>
    <row r="97" spans="1:5" ht="12" customHeight="1">
      <c r="A97" s="216" t="s">
        <v>70</v>
      </c>
      <c r="B97" s="9" t="s">
        <v>129</v>
      </c>
      <c r="C97" s="188">
        <v>8429500</v>
      </c>
      <c r="D97" s="276">
        <v>8429500</v>
      </c>
      <c r="E97" s="124">
        <v>4102276</v>
      </c>
    </row>
    <row r="98" spans="1:5" ht="12" customHeight="1">
      <c r="A98" s="216" t="s">
        <v>79</v>
      </c>
      <c r="B98" s="17" t="s">
        <v>130</v>
      </c>
      <c r="C98" s="188">
        <v>23820000</v>
      </c>
      <c r="D98" s="276">
        <v>39374429</v>
      </c>
      <c r="E98" s="124">
        <v>25596781</v>
      </c>
    </row>
    <row r="99" spans="1:5" ht="12" customHeight="1">
      <c r="A99" s="216" t="s">
        <v>71</v>
      </c>
      <c r="B99" s="6" t="s">
        <v>417</v>
      </c>
      <c r="C99" s="188"/>
      <c r="D99" s="276">
        <v>15214429</v>
      </c>
      <c r="E99" s="124">
        <v>15214429</v>
      </c>
    </row>
    <row r="100" spans="1:5" ht="12" customHeight="1">
      <c r="A100" s="216" t="s">
        <v>72</v>
      </c>
      <c r="B100" s="65" t="s">
        <v>358</v>
      </c>
      <c r="C100" s="188"/>
      <c r="D100" s="276"/>
      <c r="E100" s="124"/>
    </row>
    <row r="101" spans="1:5" ht="12" customHeight="1">
      <c r="A101" s="216" t="s">
        <v>80</v>
      </c>
      <c r="B101" s="65" t="s">
        <v>357</v>
      </c>
      <c r="C101" s="188"/>
      <c r="D101" s="276"/>
      <c r="E101" s="124"/>
    </row>
    <row r="102" spans="1:5" ht="12" customHeight="1">
      <c r="A102" s="216" t="s">
        <v>81</v>
      </c>
      <c r="B102" s="65" t="s">
        <v>272</v>
      </c>
      <c r="C102" s="188"/>
      <c r="D102" s="276"/>
      <c r="E102" s="124"/>
    </row>
    <row r="103" spans="1:5" ht="12" customHeight="1">
      <c r="A103" s="216" t="s">
        <v>82</v>
      </c>
      <c r="B103" s="66" t="s">
        <v>273</v>
      </c>
      <c r="C103" s="188"/>
      <c r="D103" s="276"/>
      <c r="E103" s="124"/>
    </row>
    <row r="104" spans="1:5" ht="12" customHeight="1">
      <c r="A104" s="216" t="s">
        <v>83</v>
      </c>
      <c r="B104" s="66" t="s">
        <v>274</v>
      </c>
      <c r="C104" s="188"/>
      <c r="D104" s="276"/>
      <c r="E104" s="124"/>
    </row>
    <row r="105" spans="1:5" ht="12" customHeight="1">
      <c r="A105" s="216" t="s">
        <v>85</v>
      </c>
      <c r="B105" s="65" t="s">
        <v>275</v>
      </c>
      <c r="C105" s="188">
        <v>15919000</v>
      </c>
      <c r="D105" s="276">
        <v>15919000</v>
      </c>
      <c r="E105" s="124">
        <v>7967552</v>
      </c>
    </row>
    <row r="106" spans="1:5" ht="12" customHeight="1">
      <c r="A106" s="216" t="s">
        <v>131</v>
      </c>
      <c r="B106" s="65" t="s">
        <v>276</v>
      </c>
      <c r="C106" s="188"/>
      <c r="D106" s="276"/>
      <c r="E106" s="124"/>
    </row>
    <row r="107" spans="1:5" ht="12" customHeight="1">
      <c r="A107" s="216" t="s">
        <v>270</v>
      </c>
      <c r="B107" s="66" t="s">
        <v>277</v>
      </c>
      <c r="C107" s="186"/>
      <c r="D107" s="276">
        <v>290000</v>
      </c>
      <c r="E107" s="124">
        <v>290000</v>
      </c>
    </row>
    <row r="108" spans="1:5" ht="12" customHeight="1">
      <c r="A108" s="224" t="s">
        <v>271</v>
      </c>
      <c r="B108" s="67" t="s">
        <v>278</v>
      </c>
      <c r="C108" s="188"/>
      <c r="D108" s="276"/>
      <c r="E108" s="124"/>
    </row>
    <row r="109" spans="1:5" ht="12" customHeight="1">
      <c r="A109" s="216" t="s">
        <v>355</v>
      </c>
      <c r="B109" s="67" t="s">
        <v>279</v>
      </c>
      <c r="C109" s="188"/>
      <c r="D109" s="276"/>
      <c r="E109" s="124"/>
    </row>
    <row r="110" spans="1:5" ht="12" customHeight="1">
      <c r="A110" s="216" t="s">
        <v>356</v>
      </c>
      <c r="B110" s="66" t="s">
        <v>280</v>
      </c>
      <c r="C110" s="186">
        <v>7901000</v>
      </c>
      <c r="D110" s="275">
        <v>7951000</v>
      </c>
      <c r="E110" s="122">
        <v>2124800</v>
      </c>
    </row>
    <row r="111" spans="1:5" ht="12" customHeight="1">
      <c r="A111" s="216" t="s">
        <v>360</v>
      </c>
      <c r="B111" s="9" t="s">
        <v>39</v>
      </c>
      <c r="C111" s="186"/>
      <c r="D111" s="275"/>
      <c r="E111" s="122"/>
    </row>
    <row r="112" spans="1:5" ht="12" customHeight="1">
      <c r="A112" s="217" t="s">
        <v>361</v>
      </c>
      <c r="B112" s="6" t="s">
        <v>418</v>
      </c>
      <c r="C112" s="188"/>
      <c r="D112" s="276"/>
      <c r="E112" s="124"/>
    </row>
    <row r="113" spans="1:5" ht="12" customHeight="1" thickBot="1">
      <c r="A113" s="225" t="s">
        <v>362</v>
      </c>
      <c r="B113" s="68" t="s">
        <v>419</v>
      </c>
      <c r="C113" s="264"/>
      <c r="D113" s="340"/>
      <c r="E113" s="258"/>
    </row>
    <row r="114" spans="1:5" ht="12" customHeight="1" thickBot="1">
      <c r="A114" s="25" t="s">
        <v>10</v>
      </c>
      <c r="B114" s="23" t="s">
        <v>281</v>
      </c>
      <c r="C114" s="185">
        <f>+C115+C117+C119</f>
        <v>580325000</v>
      </c>
      <c r="D114" s="273">
        <f>+D115+D117+D119</f>
        <v>1778359251</v>
      </c>
      <c r="E114" s="121">
        <f>+E115+E117+E119</f>
        <v>937898576</v>
      </c>
    </row>
    <row r="115" spans="1:5" ht="12" customHeight="1">
      <c r="A115" s="215" t="s">
        <v>73</v>
      </c>
      <c r="B115" s="6" t="s">
        <v>157</v>
      </c>
      <c r="C115" s="187">
        <v>560325000</v>
      </c>
      <c r="D115" s="274">
        <v>1328706190</v>
      </c>
      <c r="E115" s="123">
        <v>784944745</v>
      </c>
    </row>
    <row r="116" spans="1:5" ht="12" customHeight="1">
      <c r="A116" s="215" t="s">
        <v>74</v>
      </c>
      <c r="B116" s="10" t="s">
        <v>285</v>
      </c>
      <c r="C116" s="187"/>
      <c r="D116" s="274"/>
      <c r="E116" s="123"/>
    </row>
    <row r="117" spans="1:5" ht="12" customHeight="1">
      <c r="A117" s="215" t="s">
        <v>75</v>
      </c>
      <c r="B117" s="10" t="s">
        <v>132</v>
      </c>
      <c r="C117" s="186">
        <v>19400000</v>
      </c>
      <c r="D117" s="275">
        <v>449053061</v>
      </c>
      <c r="E117" s="122">
        <v>152953831</v>
      </c>
    </row>
    <row r="118" spans="1:5" ht="12" customHeight="1">
      <c r="A118" s="215" t="s">
        <v>76</v>
      </c>
      <c r="B118" s="10" t="s">
        <v>286</v>
      </c>
      <c r="C118" s="186"/>
      <c r="D118" s="275"/>
      <c r="E118" s="122"/>
    </row>
    <row r="119" spans="1:5" ht="12" customHeight="1">
      <c r="A119" s="215" t="s">
        <v>77</v>
      </c>
      <c r="B119" s="130" t="s">
        <v>159</v>
      </c>
      <c r="C119" s="186">
        <v>600000</v>
      </c>
      <c r="D119" s="275">
        <v>600000</v>
      </c>
      <c r="E119" s="122"/>
    </row>
    <row r="120" spans="1:5" ht="12" customHeight="1">
      <c r="A120" s="215" t="s">
        <v>84</v>
      </c>
      <c r="B120" s="129" t="s">
        <v>347</v>
      </c>
      <c r="C120" s="186"/>
      <c r="D120" s="275"/>
      <c r="E120" s="122"/>
    </row>
    <row r="121" spans="1:5" ht="12" customHeight="1">
      <c r="A121" s="215" t="s">
        <v>86</v>
      </c>
      <c r="B121" s="194" t="s">
        <v>291</v>
      </c>
      <c r="C121" s="186"/>
      <c r="D121" s="275"/>
      <c r="E121" s="122"/>
    </row>
    <row r="122" spans="1:5" ht="12" customHeight="1">
      <c r="A122" s="215" t="s">
        <v>133</v>
      </c>
      <c r="B122" s="66" t="s">
        <v>274</v>
      </c>
      <c r="C122" s="186"/>
      <c r="D122" s="275"/>
      <c r="E122" s="122"/>
    </row>
    <row r="123" spans="1:5" ht="12" customHeight="1">
      <c r="A123" s="215" t="s">
        <v>134</v>
      </c>
      <c r="B123" s="66" t="s">
        <v>290</v>
      </c>
      <c r="C123" s="186"/>
      <c r="D123" s="275"/>
      <c r="E123" s="122"/>
    </row>
    <row r="124" spans="1:5" ht="12" customHeight="1">
      <c r="A124" s="215" t="s">
        <v>135</v>
      </c>
      <c r="B124" s="66" t="s">
        <v>289</v>
      </c>
      <c r="C124" s="186"/>
      <c r="D124" s="275"/>
      <c r="E124" s="122"/>
    </row>
    <row r="125" spans="1:5" ht="12" customHeight="1">
      <c r="A125" s="215" t="s">
        <v>282</v>
      </c>
      <c r="B125" s="66" t="s">
        <v>277</v>
      </c>
      <c r="C125" s="186"/>
      <c r="D125" s="275"/>
      <c r="E125" s="122"/>
    </row>
    <row r="126" spans="1:5" ht="12" customHeight="1">
      <c r="A126" s="215" t="s">
        <v>283</v>
      </c>
      <c r="B126" s="66" t="s">
        <v>288</v>
      </c>
      <c r="C126" s="186"/>
      <c r="D126" s="275"/>
      <c r="E126" s="122"/>
    </row>
    <row r="127" spans="1:5" ht="12" customHeight="1" thickBot="1">
      <c r="A127" s="224" t="s">
        <v>284</v>
      </c>
      <c r="B127" s="66" t="s">
        <v>287</v>
      </c>
      <c r="C127" s="188">
        <v>600000</v>
      </c>
      <c r="D127" s="276">
        <v>600000</v>
      </c>
      <c r="E127" s="124"/>
    </row>
    <row r="128" spans="1:5" ht="12" customHeight="1" thickBot="1">
      <c r="A128" s="25" t="s">
        <v>11</v>
      </c>
      <c r="B128" s="59" t="s">
        <v>365</v>
      </c>
      <c r="C128" s="185">
        <f>+C93+C114</f>
        <v>850706873</v>
      </c>
      <c r="D128" s="273">
        <f>+D93+D114</f>
        <v>2450753510</v>
      </c>
      <c r="E128" s="121">
        <f>+E93+E114</f>
        <v>1372542245</v>
      </c>
    </row>
    <row r="129" spans="1:11" ht="12" customHeight="1" thickBot="1">
      <c r="A129" s="25" t="s">
        <v>12</v>
      </c>
      <c r="B129" s="59" t="s">
        <v>366</v>
      </c>
      <c r="C129" s="185">
        <f>+C130+C131+C132</f>
        <v>0</v>
      </c>
      <c r="D129" s="273">
        <f>+D130+D131+D132</f>
        <v>0</v>
      </c>
      <c r="E129" s="121">
        <f>+E130+E131+E132</f>
        <v>0</v>
      </c>
    </row>
    <row r="130" spans="1:11" s="55" customFormat="1" ht="12" customHeight="1">
      <c r="A130" s="215" t="s">
        <v>190</v>
      </c>
      <c r="B130" s="7" t="s">
        <v>423</v>
      </c>
      <c r="C130" s="186"/>
      <c r="D130" s="275"/>
      <c r="E130" s="122"/>
    </row>
    <row r="131" spans="1:11" ht="12" customHeight="1">
      <c r="A131" s="215" t="s">
        <v>191</v>
      </c>
      <c r="B131" s="7" t="s">
        <v>374</v>
      </c>
      <c r="C131" s="186"/>
      <c r="D131" s="275"/>
      <c r="E131" s="122"/>
    </row>
    <row r="132" spans="1:11" ht="12" customHeight="1" thickBot="1">
      <c r="A132" s="224" t="s">
        <v>192</v>
      </c>
      <c r="B132" s="5" t="s">
        <v>422</v>
      </c>
      <c r="C132" s="186"/>
      <c r="D132" s="275"/>
      <c r="E132" s="122"/>
    </row>
    <row r="133" spans="1:11" ht="12" customHeight="1" thickBot="1">
      <c r="A133" s="25" t="s">
        <v>13</v>
      </c>
      <c r="B133" s="59" t="s">
        <v>367</v>
      </c>
      <c r="C133" s="185">
        <f>+C134+C135+C136+C137+C138+C139</f>
        <v>0</v>
      </c>
      <c r="D133" s="273">
        <f>+D134+D135+D136+D137+D138+D139</f>
        <v>0</v>
      </c>
      <c r="E133" s="121">
        <f>+E134+E135+E136+E137+E138+E139</f>
        <v>0</v>
      </c>
    </row>
    <row r="134" spans="1:11" ht="12" customHeight="1">
      <c r="A134" s="215" t="s">
        <v>60</v>
      </c>
      <c r="B134" s="7" t="s">
        <v>376</v>
      </c>
      <c r="C134" s="186"/>
      <c r="D134" s="275"/>
      <c r="E134" s="122"/>
    </row>
    <row r="135" spans="1:11" ht="12" customHeight="1">
      <c r="A135" s="215" t="s">
        <v>61</v>
      </c>
      <c r="B135" s="7" t="s">
        <v>368</v>
      </c>
      <c r="C135" s="186"/>
      <c r="D135" s="275"/>
      <c r="E135" s="122"/>
    </row>
    <row r="136" spans="1:11" ht="12" customHeight="1">
      <c r="A136" s="215" t="s">
        <v>62</v>
      </c>
      <c r="B136" s="7" t="s">
        <v>369</v>
      </c>
      <c r="C136" s="186"/>
      <c r="D136" s="275"/>
      <c r="E136" s="122"/>
    </row>
    <row r="137" spans="1:11" ht="12" customHeight="1">
      <c r="A137" s="215" t="s">
        <v>120</v>
      </c>
      <c r="B137" s="7" t="s">
        <v>421</v>
      </c>
      <c r="C137" s="186"/>
      <c r="D137" s="275"/>
      <c r="E137" s="122"/>
    </row>
    <row r="138" spans="1:11" ht="12" customHeight="1">
      <c r="A138" s="215" t="s">
        <v>121</v>
      </c>
      <c r="B138" s="7" t="s">
        <v>371</v>
      </c>
      <c r="C138" s="186"/>
      <c r="D138" s="275"/>
      <c r="E138" s="122"/>
    </row>
    <row r="139" spans="1:11" s="55" customFormat="1" ht="12" customHeight="1" thickBot="1">
      <c r="A139" s="224" t="s">
        <v>122</v>
      </c>
      <c r="B139" s="5" t="s">
        <v>372</v>
      </c>
      <c r="C139" s="186"/>
      <c r="D139" s="275"/>
      <c r="E139" s="122"/>
    </row>
    <row r="140" spans="1:11" ht="12" customHeight="1" thickBot="1">
      <c r="A140" s="25" t="s">
        <v>14</v>
      </c>
      <c r="B140" s="59" t="s">
        <v>436</v>
      </c>
      <c r="C140" s="191">
        <f>+C141+C142+C144+C145+C143</f>
        <v>261540027</v>
      </c>
      <c r="D140" s="277">
        <f>+D141+D142+D144+D145+D143</f>
        <v>268428073</v>
      </c>
      <c r="E140" s="227">
        <f>+E141+E142+E144+E145+E143</f>
        <v>134329818</v>
      </c>
      <c r="K140" s="106"/>
    </row>
    <row r="141" spans="1:11">
      <c r="A141" s="215" t="s">
        <v>63</v>
      </c>
      <c r="B141" s="7" t="s">
        <v>292</v>
      </c>
      <c r="C141" s="186"/>
      <c r="D141" s="275"/>
      <c r="E141" s="122"/>
    </row>
    <row r="142" spans="1:11" ht="12" customHeight="1">
      <c r="A142" s="215" t="s">
        <v>64</v>
      </c>
      <c r="B142" s="7" t="s">
        <v>293</v>
      </c>
      <c r="C142" s="186">
        <v>4582927</v>
      </c>
      <c r="D142" s="275">
        <v>11470973</v>
      </c>
      <c r="E142" s="122">
        <v>11470973</v>
      </c>
    </row>
    <row r="143" spans="1:11" ht="12" customHeight="1">
      <c r="A143" s="215" t="s">
        <v>209</v>
      </c>
      <c r="B143" s="7" t="s">
        <v>435</v>
      </c>
      <c r="C143" s="186">
        <v>256957100</v>
      </c>
      <c r="D143" s="275">
        <v>256957100</v>
      </c>
      <c r="E143" s="122">
        <v>122858845</v>
      </c>
    </row>
    <row r="144" spans="1:11" s="55" customFormat="1" ht="12" customHeight="1">
      <c r="A144" s="215" t="s">
        <v>210</v>
      </c>
      <c r="B144" s="7" t="s">
        <v>381</v>
      </c>
      <c r="C144" s="186"/>
      <c r="D144" s="275"/>
      <c r="E144" s="122"/>
    </row>
    <row r="145" spans="1:5" s="55" customFormat="1" ht="12" customHeight="1" thickBot="1">
      <c r="A145" s="224" t="s">
        <v>211</v>
      </c>
      <c r="B145" s="5" t="s">
        <v>311</v>
      </c>
      <c r="C145" s="186"/>
      <c r="D145" s="275"/>
      <c r="E145" s="122"/>
    </row>
    <row r="146" spans="1:5" s="55" customFormat="1" ht="12" customHeight="1" thickBot="1">
      <c r="A146" s="25" t="s">
        <v>15</v>
      </c>
      <c r="B146" s="59" t="s">
        <v>382</v>
      </c>
      <c r="C146" s="266">
        <f>+C147+C148+C149+C150+C151</f>
        <v>0</v>
      </c>
      <c r="D146" s="278">
        <f>+D147+D148+D149+D150+D151</f>
        <v>0</v>
      </c>
      <c r="E146" s="260">
        <f>+E147+E148+E149+E150+E151</f>
        <v>0</v>
      </c>
    </row>
    <row r="147" spans="1:5" s="55" customFormat="1" ht="12" customHeight="1">
      <c r="A147" s="215" t="s">
        <v>65</v>
      </c>
      <c r="B147" s="7" t="s">
        <v>377</v>
      </c>
      <c r="C147" s="186"/>
      <c r="D147" s="275"/>
      <c r="E147" s="122"/>
    </row>
    <row r="148" spans="1:5" s="55" customFormat="1" ht="12" customHeight="1">
      <c r="A148" s="215" t="s">
        <v>66</v>
      </c>
      <c r="B148" s="7" t="s">
        <v>384</v>
      </c>
      <c r="C148" s="186"/>
      <c r="D148" s="275"/>
      <c r="E148" s="122"/>
    </row>
    <row r="149" spans="1:5" s="55" customFormat="1" ht="12" customHeight="1">
      <c r="A149" s="215" t="s">
        <v>221</v>
      </c>
      <c r="B149" s="7" t="s">
        <v>379</v>
      </c>
      <c r="C149" s="186"/>
      <c r="D149" s="275"/>
      <c r="E149" s="122"/>
    </row>
    <row r="150" spans="1:5" s="55" customFormat="1" ht="12" customHeight="1">
      <c r="A150" s="215" t="s">
        <v>222</v>
      </c>
      <c r="B150" s="7" t="s">
        <v>424</v>
      </c>
      <c r="C150" s="186"/>
      <c r="D150" s="275"/>
      <c r="E150" s="122"/>
    </row>
    <row r="151" spans="1:5" ht="12.75" customHeight="1" thickBot="1">
      <c r="A151" s="224" t="s">
        <v>383</v>
      </c>
      <c r="B151" s="5" t="s">
        <v>386</v>
      </c>
      <c r="C151" s="188"/>
      <c r="D151" s="276"/>
      <c r="E151" s="124"/>
    </row>
    <row r="152" spans="1:5" ht="12.75" customHeight="1" thickBot="1">
      <c r="A152" s="255" t="s">
        <v>16</v>
      </c>
      <c r="B152" s="59" t="s">
        <v>387</v>
      </c>
      <c r="C152" s="266"/>
      <c r="D152" s="278"/>
      <c r="E152" s="260"/>
    </row>
    <row r="153" spans="1:5" ht="12.75" customHeight="1" thickBot="1">
      <c r="A153" s="255" t="s">
        <v>17</v>
      </c>
      <c r="B153" s="59" t="s">
        <v>388</v>
      </c>
      <c r="C153" s="266"/>
      <c r="D153" s="278"/>
      <c r="E153" s="260"/>
    </row>
    <row r="154" spans="1:5" ht="12" customHeight="1" thickBot="1">
      <c r="A154" s="25" t="s">
        <v>18</v>
      </c>
      <c r="B154" s="59" t="s">
        <v>390</v>
      </c>
      <c r="C154" s="268">
        <f>+C129+C133+C140+C146+C152+C153</f>
        <v>261540027</v>
      </c>
      <c r="D154" s="280">
        <f>+D129+D133+D140+D146+D152+D153</f>
        <v>268428073</v>
      </c>
      <c r="E154" s="262">
        <f>+E129+E133+E140+E146+E152+E153</f>
        <v>134329818</v>
      </c>
    </row>
    <row r="155" spans="1:5" ht="15.2" customHeight="1" thickBot="1">
      <c r="A155" s="226" t="s">
        <v>19</v>
      </c>
      <c r="B155" s="172" t="s">
        <v>389</v>
      </c>
      <c r="C155" s="268">
        <f>+C128+C154</f>
        <v>1112246900</v>
      </c>
      <c r="D155" s="280">
        <f>+D128+D154</f>
        <v>2719181583</v>
      </c>
      <c r="E155" s="262">
        <f>+E128+E154</f>
        <v>1506872063</v>
      </c>
    </row>
    <row r="156" spans="1:5" ht="13.5" thickBot="1">
      <c r="A156" s="175"/>
      <c r="B156" s="176"/>
      <c r="C156" s="464">
        <f>C90-C155</f>
        <v>0</v>
      </c>
      <c r="D156" s="464">
        <f>D90-D155</f>
        <v>0</v>
      </c>
      <c r="E156" s="177"/>
    </row>
    <row r="157" spans="1:5" ht="15.2" customHeight="1" thickBot="1">
      <c r="A157" s="104" t="s">
        <v>512</v>
      </c>
      <c r="B157" s="105"/>
      <c r="C157" s="339"/>
      <c r="D157" s="339"/>
      <c r="E157" s="338"/>
    </row>
    <row r="158" spans="1:5" ht="14.45" customHeight="1" thickBot="1">
      <c r="A158" s="104" t="s">
        <v>513</v>
      </c>
      <c r="B158" s="105"/>
      <c r="C158" s="339"/>
      <c r="D158" s="339"/>
      <c r="E158" s="338"/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C00000"/>
  </sheetPr>
  <dimension ref="A1:K158"/>
  <sheetViews>
    <sheetView topLeftCell="A16" zoomScale="120" zoomScaleNormal="120" zoomScaleSheetLayoutView="100" workbookViewId="0">
      <selection activeCell="B2" sqref="B2:D2"/>
    </sheetView>
  </sheetViews>
  <sheetFormatPr defaultRowHeight="12.75"/>
  <cols>
    <col min="1" max="1" width="16.1640625" style="178" customWidth="1"/>
    <col min="2" max="2" width="62" style="179" customWidth="1"/>
    <col min="3" max="3" width="14.1640625" style="180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408"/>
      <c r="B1" s="534" t="str">
        <f>CONCATENATE("9.1.1. melléklet ",IB_ALAPADATOK!A7," ",IB_ALAPADATOK!B7," ",IB_ALAPADATOK!C7," ",IB_ALAPADATOK!D7)</f>
        <v xml:space="preserve">9.1.1. melléklet a 7/2019.(X.09.)  önkormányzati rendelethez </v>
      </c>
      <c r="C1" s="535"/>
      <c r="D1" s="535"/>
      <c r="E1" s="535"/>
    </row>
    <row r="2" spans="1:5" s="51" customFormat="1" ht="21.2" customHeight="1" thickBot="1">
      <c r="A2" s="417" t="s">
        <v>48</v>
      </c>
      <c r="B2" s="533" t="str">
        <f>CONCATENATE(IB_ALAPADATOK!A3)</f>
        <v>BORSODNÁDASD VÁROS ÖNKORMÁNYZATA</v>
      </c>
      <c r="C2" s="533"/>
      <c r="D2" s="533"/>
      <c r="E2" s="418" t="s">
        <v>42</v>
      </c>
    </row>
    <row r="3" spans="1:5" s="51" customFormat="1" ht="24.75" thickBot="1">
      <c r="A3" s="417" t="s">
        <v>141</v>
      </c>
      <c r="B3" s="533" t="s">
        <v>338</v>
      </c>
      <c r="C3" s="533"/>
      <c r="D3" s="533"/>
      <c r="E3" s="419" t="s">
        <v>46</v>
      </c>
    </row>
    <row r="4" spans="1:5" s="52" customFormat="1" ht="15.95" customHeight="1" thickBot="1">
      <c r="A4" s="411"/>
      <c r="B4" s="411"/>
      <c r="C4" s="412"/>
      <c r="D4" s="413"/>
      <c r="E4" s="412" t="str">
        <f>'9.1.sz.mell'!E4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47" customFormat="1" ht="12.95" customHeight="1" thickBot="1">
      <c r="A6" s="84" t="s">
        <v>404</v>
      </c>
      <c r="B6" s="85" t="s">
        <v>405</v>
      </c>
      <c r="C6" s="85" t="s">
        <v>406</v>
      </c>
      <c r="D6" s="333" t="s">
        <v>408</v>
      </c>
      <c r="E6" s="86" t="s">
        <v>407</v>
      </c>
    </row>
    <row r="7" spans="1:5" s="47" customFormat="1" ht="15.95" customHeight="1" thickBot="1">
      <c r="A7" s="530" t="s">
        <v>43</v>
      </c>
      <c r="B7" s="531"/>
      <c r="C7" s="531"/>
      <c r="D7" s="531"/>
      <c r="E7" s="532"/>
    </row>
    <row r="8" spans="1:5" s="47" customFormat="1" ht="12" customHeight="1" thickBot="1">
      <c r="A8" s="25" t="s">
        <v>9</v>
      </c>
      <c r="B8" s="19" t="s">
        <v>175</v>
      </c>
      <c r="C8" s="185">
        <f>+C9+C10+C11+C12+C13+C14</f>
        <v>306357706</v>
      </c>
      <c r="D8" s="273">
        <f>+D9+D10+D11+D12+D13+D14</f>
        <v>314679085</v>
      </c>
      <c r="E8" s="121">
        <f>+E9+E10+E11+E12+E13+E14</f>
        <v>166864604</v>
      </c>
    </row>
    <row r="9" spans="1:5" s="53" customFormat="1" ht="12" customHeight="1">
      <c r="A9" s="215" t="s">
        <v>67</v>
      </c>
      <c r="B9" s="198" t="s">
        <v>176</v>
      </c>
      <c r="C9" s="187">
        <v>141842122</v>
      </c>
      <c r="D9" s="274">
        <v>141842122</v>
      </c>
      <c r="E9" s="123">
        <v>73753225</v>
      </c>
    </row>
    <row r="10" spans="1:5" s="54" customFormat="1" ht="12" customHeight="1">
      <c r="A10" s="216" t="s">
        <v>68</v>
      </c>
      <c r="B10" s="199" t="s">
        <v>177</v>
      </c>
      <c r="C10" s="186">
        <v>56461300</v>
      </c>
      <c r="D10" s="275">
        <v>56461300</v>
      </c>
      <c r="E10" s="122">
        <v>28601771</v>
      </c>
    </row>
    <row r="11" spans="1:5" s="54" customFormat="1" ht="12" customHeight="1">
      <c r="A11" s="216" t="s">
        <v>69</v>
      </c>
      <c r="B11" s="199" t="s">
        <v>178</v>
      </c>
      <c r="C11" s="186">
        <v>104266984</v>
      </c>
      <c r="D11" s="275">
        <v>106451677</v>
      </c>
      <c r="E11" s="122">
        <v>56403526</v>
      </c>
    </row>
    <row r="12" spans="1:5" s="54" customFormat="1" ht="12" customHeight="1">
      <c r="A12" s="216" t="s">
        <v>70</v>
      </c>
      <c r="B12" s="199" t="s">
        <v>179</v>
      </c>
      <c r="C12" s="186">
        <v>3787300</v>
      </c>
      <c r="D12" s="275">
        <v>4043986</v>
      </c>
      <c r="E12" s="122">
        <v>2226082</v>
      </c>
    </row>
    <row r="13" spans="1:5" s="54" customFormat="1" ht="12" customHeight="1">
      <c r="A13" s="216" t="s">
        <v>102</v>
      </c>
      <c r="B13" s="199" t="s">
        <v>412</v>
      </c>
      <c r="C13" s="186"/>
      <c r="D13" s="275">
        <v>5880000</v>
      </c>
      <c r="E13" s="122">
        <v>5880000</v>
      </c>
    </row>
    <row r="14" spans="1:5" s="53" customFormat="1" ht="12" customHeight="1" thickBot="1">
      <c r="A14" s="217" t="s">
        <v>71</v>
      </c>
      <c r="B14" s="200" t="s">
        <v>350</v>
      </c>
      <c r="C14" s="186"/>
      <c r="D14" s="275"/>
      <c r="E14" s="122"/>
    </row>
    <row r="15" spans="1:5" s="53" customFormat="1" ht="12" customHeight="1" thickBot="1">
      <c r="A15" s="25" t="s">
        <v>10</v>
      </c>
      <c r="B15" s="128" t="s">
        <v>180</v>
      </c>
      <c r="C15" s="185">
        <f>+C16+C17+C18+C19+C20</f>
        <v>16055000</v>
      </c>
      <c r="D15" s="273">
        <f>+D16+D17+D18+D19+D20</f>
        <v>71400000</v>
      </c>
      <c r="E15" s="121">
        <f>+E16+E17+E18+E19+E20</f>
        <v>68746369</v>
      </c>
    </row>
    <row r="16" spans="1:5" s="53" customFormat="1" ht="12" customHeight="1">
      <c r="A16" s="215" t="s">
        <v>73</v>
      </c>
      <c r="B16" s="198" t="s">
        <v>181</v>
      </c>
      <c r="C16" s="187"/>
      <c r="D16" s="274"/>
      <c r="E16" s="123"/>
    </row>
    <row r="17" spans="1:5" s="53" customFormat="1" ht="12" customHeight="1">
      <c r="A17" s="216" t="s">
        <v>74</v>
      </c>
      <c r="B17" s="199" t="s">
        <v>182</v>
      </c>
      <c r="C17" s="186"/>
      <c r="D17" s="275"/>
      <c r="E17" s="122"/>
    </row>
    <row r="18" spans="1:5" s="53" customFormat="1" ht="12" customHeight="1">
      <c r="A18" s="216" t="s">
        <v>75</v>
      </c>
      <c r="B18" s="199" t="s">
        <v>341</v>
      </c>
      <c r="C18" s="186"/>
      <c r="D18" s="275"/>
      <c r="E18" s="122"/>
    </row>
    <row r="19" spans="1:5" s="53" customFormat="1" ht="12" customHeight="1">
      <c r="A19" s="216" t="s">
        <v>76</v>
      </c>
      <c r="B19" s="199" t="s">
        <v>342</v>
      </c>
      <c r="C19" s="186"/>
      <c r="D19" s="275"/>
      <c r="E19" s="122"/>
    </row>
    <row r="20" spans="1:5" s="53" customFormat="1" ht="12" customHeight="1">
      <c r="A20" s="216" t="s">
        <v>77</v>
      </c>
      <c r="B20" s="199" t="s">
        <v>183</v>
      </c>
      <c r="C20" s="186">
        <v>16055000</v>
      </c>
      <c r="D20" s="275">
        <v>71400000</v>
      </c>
      <c r="E20" s="122">
        <v>68746369</v>
      </c>
    </row>
    <row r="21" spans="1:5" s="54" customFormat="1" ht="12" customHeight="1" thickBot="1">
      <c r="A21" s="217" t="s">
        <v>84</v>
      </c>
      <c r="B21" s="200" t="s">
        <v>184</v>
      </c>
      <c r="C21" s="188"/>
      <c r="D21" s="276"/>
      <c r="E21" s="124"/>
    </row>
    <row r="22" spans="1:5" s="54" customFormat="1" ht="12" customHeight="1" thickBot="1">
      <c r="A22" s="25" t="s">
        <v>11</v>
      </c>
      <c r="B22" s="19" t="s">
        <v>185</v>
      </c>
      <c r="C22" s="185">
        <f>+C23+C24+C25+C26+C27</f>
        <v>0</v>
      </c>
      <c r="D22" s="273">
        <f>+D23+D24+D25+D26+D27</f>
        <v>2287000</v>
      </c>
      <c r="E22" s="121">
        <f>+E23+E24+E25+E26+E27</f>
        <v>1815000</v>
      </c>
    </row>
    <row r="23" spans="1:5" s="54" customFormat="1" ht="12" customHeight="1">
      <c r="A23" s="215" t="s">
        <v>56</v>
      </c>
      <c r="B23" s="198" t="s">
        <v>186</v>
      </c>
      <c r="C23" s="187"/>
      <c r="D23" s="274"/>
      <c r="E23" s="123"/>
    </row>
    <row r="24" spans="1:5" s="53" customFormat="1" ht="12" customHeight="1">
      <c r="A24" s="216" t="s">
        <v>57</v>
      </c>
      <c r="B24" s="199" t="s">
        <v>187</v>
      </c>
      <c r="C24" s="186"/>
      <c r="D24" s="275"/>
      <c r="E24" s="122"/>
    </row>
    <row r="25" spans="1:5" s="54" customFormat="1" ht="12" customHeight="1">
      <c r="A25" s="216" t="s">
        <v>58</v>
      </c>
      <c r="B25" s="199" t="s">
        <v>343</v>
      </c>
      <c r="C25" s="186"/>
      <c r="D25" s="275">
        <v>1287000</v>
      </c>
      <c r="E25" s="122">
        <v>815000</v>
      </c>
    </row>
    <row r="26" spans="1:5" s="54" customFormat="1" ht="12" customHeight="1">
      <c r="A26" s="216" t="s">
        <v>59</v>
      </c>
      <c r="B26" s="199" t="s">
        <v>344</v>
      </c>
      <c r="C26" s="186"/>
      <c r="D26" s="275"/>
      <c r="E26" s="122"/>
    </row>
    <row r="27" spans="1:5" s="54" customFormat="1" ht="12" customHeight="1">
      <c r="A27" s="216" t="s">
        <v>116</v>
      </c>
      <c r="B27" s="199" t="s">
        <v>188</v>
      </c>
      <c r="C27" s="186"/>
      <c r="D27" s="275">
        <v>1000000</v>
      </c>
      <c r="E27" s="122">
        <v>1000000</v>
      </c>
    </row>
    <row r="28" spans="1:5" s="54" customFormat="1" ht="12" customHeight="1" thickBot="1">
      <c r="A28" s="217" t="s">
        <v>117</v>
      </c>
      <c r="B28" s="200" t="s">
        <v>189</v>
      </c>
      <c r="C28" s="188"/>
      <c r="D28" s="276"/>
      <c r="E28" s="124"/>
    </row>
    <row r="29" spans="1:5" s="54" customFormat="1" ht="12" customHeight="1" thickBot="1">
      <c r="A29" s="25" t="s">
        <v>118</v>
      </c>
      <c r="B29" s="19" t="s">
        <v>502</v>
      </c>
      <c r="C29" s="191">
        <f>SUM(C30:C36)</f>
        <v>1081000</v>
      </c>
      <c r="D29" s="191">
        <f>SUM(D30:D36)</f>
        <v>6100487</v>
      </c>
      <c r="E29" s="227">
        <f>SUM(E30:E36)</f>
        <v>4139660</v>
      </c>
    </row>
    <row r="30" spans="1:5" s="54" customFormat="1" ht="12" customHeight="1">
      <c r="A30" s="215" t="s">
        <v>190</v>
      </c>
      <c r="B30" s="198" t="s">
        <v>503</v>
      </c>
      <c r="C30" s="187"/>
      <c r="D30" s="187"/>
      <c r="E30" s="123"/>
    </row>
    <row r="31" spans="1:5" s="54" customFormat="1" ht="12" customHeight="1">
      <c r="A31" s="216" t="s">
        <v>191</v>
      </c>
      <c r="B31" s="199" t="s">
        <v>504</v>
      </c>
      <c r="C31" s="186"/>
      <c r="D31" s="186"/>
      <c r="E31" s="122"/>
    </row>
    <row r="32" spans="1:5" s="54" customFormat="1" ht="12" customHeight="1">
      <c r="A32" s="216" t="s">
        <v>192</v>
      </c>
      <c r="B32" s="199" t="s">
        <v>505</v>
      </c>
      <c r="C32" s="186"/>
      <c r="D32" s="186">
        <v>4682470</v>
      </c>
      <c r="E32" s="122">
        <v>1360132</v>
      </c>
    </row>
    <row r="33" spans="1:5" s="54" customFormat="1" ht="12" customHeight="1">
      <c r="A33" s="216" t="s">
        <v>193</v>
      </c>
      <c r="B33" s="199" t="s">
        <v>506</v>
      </c>
      <c r="C33" s="186"/>
      <c r="D33" s="186"/>
      <c r="E33" s="122"/>
    </row>
    <row r="34" spans="1:5" s="54" customFormat="1" ht="12" customHeight="1">
      <c r="A34" s="216" t="s">
        <v>507</v>
      </c>
      <c r="B34" s="199" t="s">
        <v>194</v>
      </c>
      <c r="C34" s="186">
        <v>1035000</v>
      </c>
      <c r="D34" s="186">
        <v>1035000</v>
      </c>
      <c r="E34" s="122">
        <v>2652003</v>
      </c>
    </row>
    <row r="35" spans="1:5" s="54" customFormat="1" ht="12" customHeight="1">
      <c r="A35" s="216" t="s">
        <v>508</v>
      </c>
      <c r="B35" s="199" t="s">
        <v>596</v>
      </c>
      <c r="C35" s="186"/>
      <c r="D35" s="186"/>
      <c r="E35" s="122"/>
    </row>
    <row r="36" spans="1:5" s="54" customFormat="1" ht="12" customHeight="1" thickBot="1">
      <c r="A36" s="217" t="s">
        <v>509</v>
      </c>
      <c r="B36" s="349" t="s">
        <v>195</v>
      </c>
      <c r="C36" s="188">
        <v>46000</v>
      </c>
      <c r="D36" s="188">
        <v>383017</v>
      </c>
      <c r="E36" s="124">
        <v>127525</v>
      </c>
    </row>
    <row r="37" spans="1:5" s="54" customFormat="1" ht="12" customHeight="1" thickBot="1">
      <c r="A37" s="25" t="s">
        <v>13</v>
      </c>
      <c r="B37" s="19" t="s">
        <v>351</v>
      </c>
      <c r="C37" s="185">
        <f>SUM(C38:C48)</f>
        <v>16861000</v>
      </c>
      <c r="D37" s="273">
        <f>SUM(D38:D48)</f>
        <v>25972105</v>
      </c>
      <c r="E37" s="121">
        <f>SUM(E38:E48)</f>
        <v>20508940</v>
      </c>
    </row>
    <row r="38" spans="1:5" s="54" customFormat="1" ht="12" customHeight="1">
      <c r="A38" s="215" t="s">
        <v>60</v>
      </c>
      <c r="B38" s="198" t="s">
        <v>198</v>
      </c>
      <c r="C38" s="187">
        <v>3814000</v>
      </c>
      <c r="D38" s="274">
        <v>3814000</v>
      </c>
      <c r="E38" s="123">
        <v>774351</v>
      </c>
    </row>
    <row r="39" spans="1:5" s="54" customFormat="1" ht="12" customHeight="1">
      <c r="A39" s="216" t="s">
        <v>61</v>
      </c>
      <c r="B39" s="199" t="s">
        <v>199</v>
      </c>
      <c r="C39" s="186">
        <v>9427000</v>
      </c>
      <c r="D39" s="275">
        <v>15334621</v>
      </c>
      <c r="E39" s="122">
        <v>14096020</v>
      </c>
    </row>
    <row r="40" spans="1:5" s="54" customFormat="1" ht="12" customHeight="1">
      <c r="A40" s="216" t="s">
        <v>62</v>
      </c>
      <c r="B40" s="199" t="s">
        <v>200</v>
      </c>
      <c r="C40" s="186"/>
      <c r="D40" s="275">
        <v>125136</v>
      </c>
      <c r="E40" s="122">
        <v>125136</v>
      </c>
    </row>
    <row r="41" spans="1:5" s="54" customFormat="1" ht="12" customHeight="1">
      <c r="A41" s="216" t="s">
        <v>120</v>
      </c>
      <c r="B41" s="199" t="s">
        <v>201</v>
      </c>
      <c r="C41" s="186"/>
      <c r="D41" s="275"/>
      <c r="E41" s="122"/>
    </row>
    <row r="42" spans="1:5" s="54" customFormat="1" ht="12" customHeight="1">
      <c r="A42" s="216" t="s">
        <v>121</v>
      </c>
      <c r="B42" s="199" t="s">
        <v>202</v>
      </c>
      <c r="C42" s="186"/>
      <c r="D42" s="275"/>
      <c r="E42" s="122"/>
    </row>
    <row r="43" spans="1:5" s="54" customFormat="1" ht="12" customHeight="1">
      <c r="A43" s="216" t="s">
        <v>122</v>
      </c>
      <c r="B43" s="199" t="s">
        <v>203</v>
      </c>
      <c r="C43" s="186">
        <v>3575000</v>
      </c>
      <c r="D43" s="275">
        <v>3575000</v>
      </c>
      <c r="E43" s="122">
        <v>2988640</v>
      </c>
    </row>
    <row r="44" spans="1:5" s="54" customFormat="1" ht="12" customHeight="1">
      <c r="A44" s="216" t="s">
        <v>123</v>
      </c>
      <c r="B44" s="199" t="s">
        <v>204</v>
      </c>
      <c r="C44" s="186"/>
      <c r="D44" s="275"/>
      <c r="E44" s="122"/>
    </row>
    <row r="45" spans="1:5" s="54" customFormat="1" ht="12" customHeight="1">
      <c r="A45" s="216" t="s">
        <v>124</v>
      </c>
      <c r="B45" s="199" t="s">
        <v>510</v>
      </c>
      <c r="C45" s="186">
        <v>45000</v>
      </c>
      <c r="D45" s="275">
        <v>48267</v>
      </c>
      <c r="E45" s="122">
        <v>24712</v>
      </c>
    </row>
    <row r="46" spans="1:5" s="54" customFormat="1" ht="12" customHeight="1">
      <c r="A46" s="216" t="s">
        <v>196</v>
      </c>
      <c r="B46" s="199" t="s">
        <v>206</v>
      </c>
      <c r="C46" s="189"/>
      <c r="D46" s="334">
        <v>282540</v>
      </c>
      <c r="E46" s="125">
        <v>282540</v>
      </c>
    </row>
    <row r="47" spans="1:5" s="54" customFormat="1" ht="12" customHeight="1">
      <c r="A47" s="217" t="s">
        <v>197</v>
      </c>
      <c r="B47" s="200" t="s">
        <v>353</v>
      </c>
      <c r="C47" s="190"/>
      <c r="D47" s="335">
        <v>124139</v>
      </c>
      <c r="E47" s="126">
        <v>124139</v>
      </c>
    </row>
    <row r="48" spans="1:5" s="54" customFormat="1" ht="12" customHeight="1" thickBot="1">
      <c r="A48" s="217" t="s">
        <v>352</v>
      </c>
      <c r="B48" s="200" t="s">
        <v>207</v>
      </c>
      <c r="C48" s="190"/>
      <c r="D48" s="335">
        <v>2668402</v>
      </c>
      <c r="E48" s="126">
        <v>2093402</v>
      </c>
    </row>
    <row r="49" spans="1:5" s="54" customFormat="1" ht="12" customHeight="1" thickBot="1">
      <c r="A49" s="25" t="s">
        <v>14</v>
      </c>
      <c r="B49" s="19" t="s">
        <v>208</v>
      </c>
      <c r="C49" s="185">
        <f>SUM(C50:C54)</f>
        <v>0</v>
      </c>
      <c r="D49" s="273">
        <f>SUM(D50:D54)</f>
        <v>0</v>
      </c>
      <c r="E49" s="121">
        <f>SUM(E50:E54)</f>
        <v>0</v>
      </c>
    </row>
    <row r="50" spans="1:5" s="54" customFormat="1" ht="12" customHeight="1">
      <c r="A50" s="215" t="s">
        <v>63</v>
      </c>
      <c r="B50" s="198" t="s">
        <v>212</v>
      </c>
      <c r="C50" s="238"/>
      <c r="D50" s="336"/>
      <c r="E50" s="127"/>
    </row>
    <row r="51" spans="1:5" s="54" customFormat="1" ht="12" customHeight="1">
      <c r="A51" s="216" t="s">
        <v>64</v>
      </c>
      <c r="B51" s="199" t="s">
        <v>213</v>
      </c>
      <c r="C51" s="189"/>
      <c r="D51" s="334"/>
      <c r="E51" s="125"/>
    </row>
    <row r="52" spans="1:5" s="54" customFormat="1" ht="12" customHeight="1">
      <c r="A52" s="216" t="s">
        <v>209</v>
      </c>
      <c r="B52" s="199" t="s">
        <v>214</v>
      </c>
      <c r="C52" s="189"/>
      <c r="D52" s="334"/>
      <c r="E52" s="125"/>
    </row>
    <row r="53" spans="1:5" s="54" customFormat="1" ht="12" customHeight="1">
      <c r="A53" s="216" t="s">
        <v>210</v>
      </c>
      <c r="B53" s="199" t="s">
        <v>215</v>
      </c>
      <c r="C53" s="189"/>
      <c r="D53" s="334"/>
      <c r="E53" s="125"/>
    </row>
    <row r="54" spans="1:5" s="54" customFormat="1" ht="12" customHeight="1" thickBot="1">
      <c r="A54" s="217" t="s">
        <v>211</v>
      </c>
      <c r="B54" s="200" t="s">
        <v>216</v>
      </c>
      <c r="C54" s="190"/>
      <c r="D54" s="335"/>
      <c r="E54" s="126"/>
    </row>
    <row r="55" spans="1:5" s="54" customFormat="1" ht="12" customHeight="1" thickBot="1">
      <c r="A55" s="25" t="s">
        <v>125</v>
      </c>
      <c r="B55" s="19" t="s">
        <v>217</v>
      </c>
      <c r="C55" s="185">
        <f>SUM(C56:C58)</f>
        <v>0</v>
      </c>
      <c r="D55" s="273">
        <f>SUM(D56:D58)</f>
        <v>0</v>
      </c>
      <c r="E55" s="121">
        <f>SUM(E56:E58)</f>
        <v>0</v>
      </c>
    </row>
    <row r="56" spans="1:5" s="54" customFormat="1" ht="12" customHeight="1">
      <c r="A56" s="215" t="s">
        <v>65</v>
      </c>
      <c r="B56" s="198" t="s">
        <v>218</v>
      </c>
      <c r="C56" s="187"/>
      <c r="D56" s="274"/>
      <c r="E56" s="123"/>
    </row>
    <row r="57" spans="1:5" s="54" customFormat="1" ht="12" customHeight="1">
      <c r="A57" s="216" t="s">
        <v>66</v>
      </c>
      <c r="B57" s="199" t="s">
        <v>345</v>
      </c>
      <c r="C57" s="186"/>
      <c r="D57" s="275"/>
      <c r="E57" s="122"/>
    </row>
    <row r="58" spans="1:5" s="54" customFormat="1" ht="12" customHeight="1">
      <c r="A58" s="216" t="s">
        <v>221</v>
      </c>
      <c r="B58" s="199" t="s">
        <v>219</v>
      </c>
      <c r="C58" s="186"/>
      <c r="D58" s="275"/>
      <c r="E58" s="122"/>
    </row>
    <row r="59" spans="1:5" s="54" customFormat="1" ht="12" customHeight="1" thickBot="1">
      <c r="A59" s="217" t="s">
        <v>222</v>
      </c>
      <c r="B59" s="200" t="s">
        <v>220</v>
      </c>
      <c r="C59" s="188"/>
      <c r="D59" s="276"/>
      <c r="E59" s="124"/>
    </row>
    <row r="60" spans="1:5" s="54" customFormat="1" ht="12" customHeight="1" thickBot="1">
      <c r="A60" s="25" t="s">
        <v>16</v>
      </c>
      <c r="B60" s="128" t="s">
        <v>223</v>
      </c>
      <c r="C60" s="185">
        <f>SUM(C61:C63)</f>
        <v>0</v>
      </c>
      <c r="D60" s="273">
        <f>SUM(D61:D63)</f>
        <v>966322710</v>
      </c>
      <c r="E60" s="121">
        <f>SUM(E61:E63)</f>
        <v>966322710</v>
      </c>
    </row>
    <row r="61" spans="1:5" s="54" customFormat="1" ht="12" customHeight="1">
      <c r="A61" s="215" t="s">
        <v>126</v>
      </c>
      <c r="B61" s="198" t="s">
        <v>225</v>
      </c>
      <c r="C61" s="189"/>
      <c r="D61" s="334"/>
      <c r="E61" s="125"/>
    </row>
    <row r="62" spans="1:5" s="54" customFormat="1" ht="12" customHeight="1">
      <c r="A62" s="216" t="s">
        <v>127</v>
      </c>
      <c r="B62" s="199" t="s">
        <v>346</v>
      </c>
      <c r="C62" s="189"/>
      <c r="D62" s="334"/>
      <c r="E62" s="125"/>
    </row>
    <row r="63" spans="1:5" s="54" customFormat="1" ht="12" customHeight="1">
      <c r="A63" s="216" t="s">
        <v>158</v>
      </c>
      <c r="B63" s="199" t="s">
        <v>226</v>
      </c>
      <c r="C63" s="189"/>
      <c r="D63" s="334">
        <v>966322710</v>
      </c>
      <c r="E63" s="125">
        <v>966322710</v>
      </c>
    </row>
    <row r="64" spans="1:5" s="54" customFormat="1" ht="12" customHeight="1" thickBot="1">
      <c r="A64" s="217" t="s">
        <v>224</v>
      </c>
      <c r="B64" s="200" t="s">
        <v>227</v>
      </c>
      <c r="C64" s="189"/>
      <c r="D64" s="334"/>
      <c r="E64" s="125"/>
    </row>
    <row r="65" spans="1:5" s="54" customFormat="1" ht="12" customHeight="1" thickBot="1">
      <c r="A65" s="25" t="s">
        <v>17</v>
      </c>
      <c r="B65" s="19" t="s">
        <v>228</v>
      </c>
      <c r="C65" s="191">
        <f>+C8+C15+C22+C29+C37+C49+C55+C60</f>
        <v>340354706</v>
      </c>
      <c r="D65" s="277">
        <f>+D8+D15+D22+D29+D37+D49+D55+D60</f>
        <v>1386761387</v>
      </c>
      <c r="E65" s="227">
        <f>+E8+E15+E22+E29+E37+E49+E55+E60</f>
        <v>1228397283</v>
      </c>
    </row>
    <row r="66" spans="1:5" s="54" customFormat="1" ht="12" customHeight="1" thickBot="1">
      <c r="A66" s="218" t="s">
        <v>315</v>
      </c>
      <c r="B66" s="128" t="s">
        <v>230</v>
      </c>
      <c r="C66" s="185">
        <f>SUM(C67:C69)</f>
        <v>0</v>
      </c>
      <c r="D66" s="273">
        <f>SUM(D67:D69)</f>
        <v>0</v>
      </c>
      <c r="E66" s="121">
        <f>SUM(E67:E69)</f>
        <v>0</v>
      </c>
    </row>
    <row r="67" spans="1:5" s="54" customFormat="1" ht="12" customHeight="1">
      <c r="A67" s="215" t="s">
        <v>258</v>
      </c>
      <c r="B67" s="198" t="s">
        <v>231</v>
      </c>
      <c r="C67" s="189"/>
      <c r="D67" s="334"/>
      <c r="E67" s="125"/>
    </row>
    <row r="68" spans="1:5" s="54" customFormat="1" ht="12" customHeight="1">
      <c r="A68" s="216" t="s">
        <v>267</v>
      </c>
      <c r="B68" s="199" t="s">
        <v>232</v>
      </c>
      <c r="C68" s="189"/>
      <c r="D68" s="334"/>
      <c r="E68" s="125"/>
    </row>
    <row r="69" spans="1:5" s="54" customFormat="1" ht="12" customHeight="1" thickBot="1">
      <c r="A69" s="225" t="s">
        <v>268</v>
      </c>
      <c r="B69" s="405" t="s">
        <v>233</v>
      </c>
      <c r="C69" s="406"/>
      <c r="D69" s="337"/>
      <c r="E69" s="407"/>
    </row>
    <row r="70" spans="1:5" s="54" customFormat="1" ht="12" customHeight="1" thickBot="1">
      <c r="A70" s="218" t="s">
        <v>234</v>
      </c>
      <c r="B70" s="128" t="s">
        <v>235</v>
      </c>
      <c r="C70" s="185">
        <f>SUM(C71:C74)</f>
        <v>0</v>
      </c>
      <c r="D70" s="185">
        <f>SUM(D71:D74)</f>
        <v>30000000</v>
      </c>
      <c r="E70" s="121">
        <f>SUM(E71:E74)</f>
        <v>30000000</v>
      </c>
    </row>
    <row r="71" spans="1:5" s="54" customFormat="1" ht="12" customHeight="1">
      <c r="A71" s="215" t="s">
        <v>103</v>
      </c>
      <c r="B71" s="388" t="s">
        <v>236</v>
      </c>
      <c r="C71" s="189"/>
      <c r="D71" s="189"/>
      <c r="E71" s="125"/>
    </row>
    <row r="72" spans="1:5" s="54" customFormat="1" ht="12" customHeight="1">
      <c r="A72" s="216" t="s">
        <v>104</v>
      </c>
      <c r="B72" s="388" t="s">
        <v>517</v>
      </c>
      <c r="C72" s="189"/>
      <c r="D72" s="189"/>
      <c r="E72" s="125"/>
    </row>
    <row r="73" spans="1:5" s="54" customFormat="1" ht="12" customHeight="1">
      <c r="A73" s="216" t="s">
        <v>259</v>
      </c>
      <c r="B73" s="388" t="s">
        <v>237</v>
      </c>
      <c r="C73" s="189"/>
      <c r="D73" s="189">
        <v>30000000</v>
      </c>
      <c r="E73" s="125">
        <v>30000000</v>
      </c>
    </row>
    <row r="74" spans="1:5" s="54" customFormat="1" ht="12" customHeight="1" thickBot="1">
      <c r="A74" s="217" t="s">
        <v>260</v>
      </c>
      <c r="B74" s="389" t="s">
        <v>518</v>
      </c>
      <c r="C74" s="189"/>
      <c r="D74" s="189"/>
      <c r="E74" s="125"/>
    </row>
    <row r="75" spans="1:5" s="54" customFormat="1" ht="12" customHeight="1" thickBot="1">
      <c r="A75" s="218" t="s">
        <v>238</v>
      </c>
      <c r="B75" s="128" t="s">
        <v>239</v>
      </c>
      <c r="C75" s="185">
        <f>SUM(C76:C77)</f>
        <v>647888694</v>
      </c>
      <c r="D75" s="185">
        <f>SUM(D76:D77)</f>
        <v>1278366696</v>
      </c>
      <c r="E75" s="121">
        <f>SUM(E76:E77)</f>
        <v>1278366696</v>
      </c>
    </row>
    <row r="76" spans="1:5" s="54" customFormat="1" ht="12" customHeight="1">
      <c r="A76" s="215" t="s">
        <v>261</v>
      </c>
      <c r="B76" s="198" t="s">
        <v>240</v>
      </c>
      <c r="C76" s="189">
        <v>647888694</v>
      </c>
      <c r="D76" s="189">
        <v>1278366696</v>
      </c>
      <c r="E76" s="125">
        <v>1278366696</v>
      </c>
    </row>
    <row r="77" spans="1:5" s="54" customFormat="1" ht="12" customHeight="1" thickBot="1">
      <c r="A77" s="217" t="s">
        <v>262</v>
      </c>
      <c r="B77" s="200" t="s">
        <v>241</v>
      </c>
      <c r="C77" s="189"/>
      <c r="D77" s="189"/>
      <c r="E77" s="125"/>
    </row>
    <row r="78" spans="1:5" s="53" customFormat="1" ht="12" customHeight="1" thickBot="1">
      <c r="A78" s="218" t="s">
        <v>242</v>
      </c>
      <c r="B78" s="128" t="s">
        <v>243</v>
      </c>
      <c r="C78" s="185">
        <f>SUM(C79:C81)</f>
        <v>100000000</v>
      </c>
      <c r="D78" s="185">
        <f>SUM(D79:D81)</f>
        <v>0</v>
      </c>
      <c r="E78" s="121">
        <f>SUM(E79:E81)</f>
        <v>0</v>
      </c>
    </row>
    <row r="79" spans="1:5" s="54" customFormat="1" ht="12" customHeight="1">
      <c r="A79" s="215" t="s">
        <v>263</v>
      </c>
      <c r="B79" s="198" t="s">
        <v>244</v>
      </c>
      <c r="C79" s="189"/>
      <c r="D79" s="189"/>
      <c r="E79" s="125"/>
    </row>
    <row r="80" spans="1:5" s="54" customFormat="1" ht="12" customHeight="1">
      <c r="A80" s="216" t="s">
        <v>264</v>
      </c>
      <c r="B80" s="199" t="s">
        <v>245</v>
      </c>
      <c r="C80" s="189"/>
      <c r="D80" s="189"/>
      <c r="E80" s="125"/>
    </row>
    <row r="81" spans="1:5" s="54" customFormat="1" ht="12" customHeight="1" thickBot="1">
      <c r="A81" s="217" t="s">
        <v>265</v>
      </c>
      <c r="B81" s="200" t="s">
        <v>519</v>
      </c>
      <c r="C81" s="189">
        <v>100000000</v>
      </c>
      <c r="D81" s="189"/>
      <c r="E81" s="125"/>
    </row>
    <row r="82" spans="1:5" s="54" customFormat="1" ht="12" customHeight="1" thickBot="1">
      <c r="A82" s="218" t="s">
        <v>246</v>
      </c>
      <c r="B82" s="128" t="s">
        <v>266</v>
      </c>
      <c r="C82" s="185">
        <f>SUM(C83:C86)</f>
        <v>0</v>
      </c>
      <c r="D82" s="185">
        <f>SUM(D83:D86)</f>
        <v>0</v>
      </c>
      <c r="E82" s="121">
        <f>SUM(E83:E86)</f>
        <v>0</v>
      </c>
    </row>
    <row r="83" spans="1:5" s="54" customFormat="1" ht="12" customHeight="1">
      <c r="A83" s="219" t="s">
        <v>247</v>
      </c>
      <c r="B83" s="198" t="s">
        <v>248</v>
      </c>
      <c r="C83" s="189"/>
      <c r="D83" s="189"/>
      <c r="E83" s="125"/>
    </row>
    <row r="84" spans="1:5" s="54" customFormat="1" ht="12" customHeight="1">
      <c r="A84" s="220" t="s">
        <v>249</v>
      </c>
      <c r="B84" s="199" t="s">
        <v>250</v>
      </c>
      <c r="C84" s="189"/>
      <c r="D84" s="189"/>
      <c r="E84" s="125"/>
    </row>
    <row r="85" spans="1:5" s="54" customFormat="1" ht="12" customHeight="1">
      <c r="A85" s="220" t="s">
        <v>251</v>
      </c>
      <c r="B85" s="199" t="s">
        <v>252</v>
      </c>
      <c r="C85" s="189"/>
      <c r="D85" s="189"/>
      <c r="E85" s="125"/>
    </row>
    <row r="86" spans="1:5" s="53" customFormat="1" ht="12" customHeight="1" thickBot="1">
      <c r="A86" s="221" t="s">
        <v>253</v>
      </c>
      <c r="B86" s="200" t="s">
        <v>254</v>
      </c>
      <c r="C86" s="189"/>
      <c r="D86" s="189"/>
      <c r="E86" s="125"/>
    </row>
    <row r="87" spans="1:5" s="53" customFormat="1" ht="12" customHeight="1" thickBot="1">
      <c r="A87" s="218" t="s">
        <v>255</v>
      </c>
      <c r="B87" s="128" t="s">
        <v>392</v>
      </c>
      <c r="C87" s="241"/>
      <c r="D87" s="241"/>
      <c r="E87" s="242"/>
    </row>
    <row r="88" spans="1:5" s="53" customFormat="1" ht="12" customHeight="1" thickBot="1">
      <c r="A88" s="218" t="s">
        <v>413</v>
      </c>
      <c r="B88" s="128" t="s">
        <v>256</v>
      </c>
      <c r="C88" s="241"/>
      <c r="D88" s="241"/>
      <c r="E88" s="242"/>
    </row>
    <row r="89" spans="1:5" s="53" customFormat="1" ht="12" customHeight="1" thickBot="1">
      <c r="A89" s="218" t="s">
        <v>414</v>
      </c>
      <c r="B89" s="205" t="s">
        <v>395</v>
      </c>
      <c r="C89" s="191">
        <f>+C66+C70+C75+C78+C82+C88+C87</f>
        <v>747888694</v>
      </c>
      <c r="D89" s="191">
        <f>+D66+D70+D75+D78+D82+D88+D87</f>
        <v>1308366696</v>
      </c>
      <c r="E89" s="227">
        <f>+E66+E70+E75+E78+E82+E88+E87</f>
        <v>1308366696</v>
      </c>
    </row>
    <row r="90" spans="1:5" s="53" customFormat="1" ht="12" customHeight="1" thickBot="1">
      <c r="A90" s="222" t="s">
        <v>415</v>
      </c>
      <c r="B90" s="206" t="s">
        <v>416</v>
      </c>
      <c r="C90" s="191">
        <f>+C65+C89</f>
        <v>1088243400</v>
      </c>
      <c r="D90" s="191">
        <f>+D65+D89</f>
        <v>2695128083</v>
      </c>
      <c r="E90" s="227">
        <f>+E65+E89</f>
        <v>2536763979</v>
      </c>
    </row>
    <row r="91" spans="1:5" s="54" customFormat="1" ht="15.2" customHeight="1" thickBot="1">
      <c r="A91" s="97"/>
      <c r="B91" s="98"/>
      <c r="C91" s="167"/>
    </row>
    <row r="92" spans="1:5" s="47" customFormat="1" ht="16.5" customHeight="1" thickBot="1">
      <c r="A92" s="530" t="s">
        <v>44</v>
      </c>
      <c r="B92" s="531"/>
      <c r="C92" s="531"/>
      <c r="D92" s="531"/>
      <c r="E92" s="532"/>
    </row>
    <row r="93" spans="1:5" s="55" customFormat="1" ht="12" customHeight="1" thickBot="1">
      <c r="A93" s="192" t="s">
        <v>9</v>
      </c>
      <c r="B93" s="24" t="s">
        <v>420</v>
      </c>
      <c r="C93" s="184">
        <f>+C94+C95+C96+C97+C98+C111</f>
        <v>270381873</v>
      </c>
      <c r="D93" s="184">
        <f>+D94+D95+D96+D97+D98+D111</f>
        <v>672394259</v>
      </c>
      <c r="E93" s="256">
        <f>+E94+E95+E96+E97+E98+E111</f>
        <v>434643669</v>
      </c>
    </row>
    <row r="94" spans="1:5" ht="12" customHeight="1">
      <c r="A94" s="223" t="s">
        <v>67</v>
      </c>
      <c r="B94" s="8" t="s">
        <v>38</v>
      </c>
      <c r="C94" s="263">
        <v>48369000</v>
      </c>
      <c r="D94" s="263">
        <v>176199408</v>
      </c>
      <c r="E94" s="257">
        <v>97672895</v>
      </c>
    </row>
    <row r="95" spans="1:5" ht="12" customHeight="1">
      <c r="A95" s="216" t="s">
        <v>68</v>
      </c>
      <c r="B95" s="6" t="s">
        <v>128</v>
      </c>
      <c r="C95" s="186">
        <v>8948300</v>
      </c>
      <c r="D95" s="186">
        <v>36402424</v>
      </c>
      <c r="E95" s="122">
        <v>13724631</v>
      </c>
    </row>
    <row r="96" spans="1:5" ht="12" customHeight="1">
      <c r="A96" s="216" t="s">
        <v>69</v>
      </c>
      <c r="B96" s="6" t="s">
        <v>95</v>
      </c>
      <c r="C96" s="188">
        <v>180815073</v>
      </c>
      <c r="D96" s="186">
        <v>411988498</v>
      </c>
      <c r="E96" s="124">
        <v>293547086</v>
      </c>
    </row>
    <row r="97" spans="1:5" ht="12" customHeight="1">
      <c r="A97" s="216" t="s">
        <v>70</v>
      </c>
      <c r="B97" s="9" t="s">
        <v>129</v>
      </c>
      <c r="C97" s="188">
        <v>8429500</v>
      </c>
      <c r="D97" s="276">
        <v>8429500</v>
      </c>
      <c r="E97" s="124">
        <v>4102276</v>
      </c>
    </row>
    <row r="98" spans="1:5" ht="12" customHeight="1">
      <c r="A98" s="216" t="s">
        <v>79</v>
      </c>
      <c r="B98" s="17" t="s">
        <v>130</v>
      </c>
      <c r="C98" s="188">
        <v>23820000</v>
      </c>
      <c r="D98" s="276">
        <v>39374429</v>
      </c>
      <c r="E98" s="124">
        <v>25596781</v>
      </c>
    </row>
    <row r="99" spans="1:5" ht="12" customHeight="1">
      <c r="A99" s="216" t="s">
        <v>71</v>
      </c>
      <c r="B99" s="6" t="s">
        <v>417</v>
      </c>
      <c r="C99" s="188"/>
      <c r="D99" s="276">
        <v>15214429</v>
      </c>
      <c r="E99" s="124">
        <v>15214429</v>
      </c>
    </row>
    <row r="100" spans="1:5" ht="12" customHeight="1">
      <c r="A100" s="216" t="s">
        <v>72</v>
      </c>
      <c r="B100" s="65" t="s">
        <v>358</v>
      </c>
      <c r="C100" s="188"/>
      <c r="D100" s="276"/>
      <c r="E100" s="124"/>
    </row>
    <row r="101" spans="1:5" ht="12" customHeight="1">
      <c r="A101" s="216" t="s">
        <v>80</v>
      </c>
      <c r="B101" s="65" t="s">
        <v>357</v>
      </c>
      <c r="C101" s="188"/>
      <c r="D101" s="276"/>
      <c r="E101" s="124"/>
    </row>
    <row r="102" spans="1:5" ht="12" customHeight="1">
      <c r="A102" s="216" t="s">
        <v>81</v>
      </c>
      <c r="B102" s="65" t="s">
        <v>272</v>
      </c>
      <c r="C102" s="188"/>
      <c r="D102" s="276"/>
      <c r="E102" s="124"/>
    </row>
    <row r="103" spans="1:5" ht="12" customHeight="1">
      <c r="A103" s="216" t="s">
        <v>82</v>
      </c>
      <c r="B103" s="66" t="s">
        <v>273</v>
      </c>
      <c r="C103" s="188"/>
      <c r="D103" s="276"/>
      <c r="E103" s="124"/>
    </row>
    <row r="104" spans="1:5" ht="12" customHeight="1">
      <c r="A104" s="216" t="s">
        <v>83</v>
      </c>
      <c r="B104" s="66" t="s">
        <v>274</v>
      </c>
      <c r="C104" s="188"/>
      <c r="D104" s="276"/>
      <c r="E104" s="124"/>
    </row>
    <row r="105" spans="1:5" ht="12" customHeight="1">
      <c r="A105" s="216" t="s">
        <v>85</v>
      </c>
      <c r="B105" s="65" t="s">
        <v>275</v>
      </c>
      <c r="C105" s="188">
        <v>15919000</v>
      </c>
      <c r="D105" s="276">
        <v>15919000</v>
      </c>
      <c r="E105" s="124">
        <v>7967552</v>
      </c>
    </row>
    <row r="106" spans="1:5" ht="12" customHeight="1">
      <c r="A106" s="216" t="s">
        <v>131</v>
      </c>
      <c r="B106" s="65" t="s">
        <v>276</v>
      </c>
      <c r="C106" s="188"/>
      <c r="D106" s="276"/>
      <c r="E106" s="124"/>
    </row>
    <row r="107" spans="1:5" ht="12" customHeight="1">
      <c r="A107" s="216" t="s">
        <v>270</v>
      </c>
      <c r="B107" s="66" t="s">
        <v>277</v>
      </c>
      <c r="C107" s="186"/>
      <c r="D107" s="276">
        <v>290000</v>
      </c>
      <c r="E107" s="124">
        <v>290000</v>
      </c>
    </row>
    <row r="108" spans="1:5" ht="12" customHeight="1">
      <c r="A108" s="224" t="s">
        <v>271</v>
      </c>
      <c r="B108" s="67" t="s">
        <v>278</v>
      </c>
      <c r="C108" s="188"/>
      <c r="D108" s="276"/>
      <c r="E108" s="124"/>
    </row>
    <row r="109" spans="1:5" ht="12" customHeight="1">
      <c r="A109" s="216" t="s">
        <v>355</v>
      </c>
      <c r="B109" s="67" t="s">
        <v>279</v>
      </c>
      <c r="C109" s="188"/>
      <c r="D109" s="276"/>
      <c r="E109" s="124"/>
    </row>
    <row r="110" spans="1:5" ht="12" customHeight="1">
      <c r="A110" s="216" t="s">
        <v>356</v>
      </c>
      <c r="B110" s="66" t="s">
        <v>280</v>
      </c>
      <c r="C110" s="186">
        <v>7901000</v>
      </c>
      <c r="D110" s="275">
        <v>7951000</v>
      </c>
      <c r="E110" s="122">
        <v>2124800</v>
      </c>
    </row>
    <row r="111" spans="1:5" ht="12" customHeight="1">
      <c r="A111" s="216" t="s">
        <v>360</v>
      </c>
      <c r="B111" s="9" t="s">
        <v>39</v>
      </c>
      <c r="C111" s="186"/>
      <c r="D111" s="275"/>
      <c r="E111" s="122"/>
    </row>
    <row r="112" spans="1:5" ht="12" customHeight="1">
      <c r="A112" s="217" t="s">
        <v>361</v>
      </c>
      <c r="B112" s="6" t="s">
        <v>418</v>
      </c>
      <c r="C112" s="188"/>
      <c r="D112" s="276"/>
      <c r="E112" s="124"/>
    </row>
    <row r="113" spans="1:5" ht="12" customHeight="1" thickBot="1">
      <c r="A113" s="225" t="s">
        <v>362</v>
      </c>
      <c r="B113" s="68" t="s">
        <v>419</v>
      </c>
      <c r="C113" s="264"/>
      <c r="D113" s="340"/>
      <c r="E113" s="258"/>
    </row>
    <row r="114" spans="1:5" ht="12" customHeight="1" thickBot="1">
      <c r="A114" s="25" t="s">
        <v>10</v>
      </c>
      <c r="B114" s="23" t="s">
        <v>281</v>
      </c>
      <c r="C114" s="185">
        <f>+C115+C117+C119</f>
        <v>580325000</v>
      </c>
      <c r="D114" s="273">
        <f>+D115+D117+D119</f>
        <v>1778359251</v>
      </c>
      <c r="E114" s="121">
        <f>+E115+E117+E119</f>
        <v>937898576</v>
      </c>
    </row>
    <row r="115" spans="1:5" ht="12" customHeight="1">
      <c r="A115" s="215" t="s">
        <v>73</v>
      </c>
      <c r="B115" s="6" t="s">
        <v>157</v>
      </c>
      <c r="C115" s="187">
        <v>560325000</v>
      </c>
      <c r="D115" s="274">
        <v>1328706190</v>
      </c>
      <c r="E115" s="123">
        <v>784944745</v>
      </c>
    </row>
    <row r="116" spans="1:5" ht="12" customHeight="1">
      <c r="A116" s="215" t="s">
        <v>74</v>
      </c>
      <c r="B116" s="10" t="s">
        <v>285</v>
      </c>
      <c r="C116" s="187"/>
      <c r="D116" s="274"/>
      <c r="E116" s="123"/>
    </row>
    <row r="117" spans="1:5" ht="12" customHeight="1">
      <c r="A117" s="215" t="s">
        <v>75</v>
      </c>
      <c r="B117" s="10" t="s">
        <v>132</v>
      </c>
      <c r="C117" s="186">
        <v>19400000</v>
      </c>
      <c r="D117" s="275">
        <v>449053061</v>
      </c>
      <c r="E117" s="122">
        <v>152953831</v>
      </c>
    </row>
    <row r="118" spans="1:5" ht="12" customHeight="1">
      <c r="A118" s="215" t="s">
        <v>76</v>
      </c>
      <c r="B118" s="10" t="s">
        <v>286</v>
      </c>
      <c r="C118" s="186"/>
      <c r="D118" s="275"/>
      <c r="E118" s="122"/>
    </row>
    <row r="119" spans="1:5" ht="12" customHeight="1">
      <c r="A119" s="215" t="s">
        <v>77</v>
      </c>
      <c r="B119" s="130" t="s">
        <v>159</v>
      </c>
      <c r="C119" s="186">
        <v>600000</v>
      </c>
      <c r="D119" s="275">
        <v>600000</v>
      </c>
      <c r="E119" s="122"/>
    </row>
    <row r="120" spans="1:5" ht="12" customHeight="1">
      <c r="A120" s="215" t="s">
        <v>84</v>
      </c>
      <c r="B120" s="129" t="s">
        <v>347</v>
      </c>
      <c r="C120" s="186"/>
      <c r="D120" s="275"/>
      <c r="E120" s="122"/>
    </row>
    <row r="121" spans="1:5" ht="12" customHeight="1">
      <c r="A121" s="215" t="s">
        <v>86</v>
      </c>
      <c r="B121" s="194" t="s">
        <v>291</v>
      </c>
      <c r="C121" s="186"/>
      <c r="D121" s="275"/>
      <c r="E121" s="122"/>
    </row>
    <row r="122" spans="1:5" ht="12" customHeight="1">
      <c r="A122" s="215" t="s">
        <v>133</v>
      </c>
      <c r="B122" s="66" t="s">
        <v>274</v>
      </c>
      <c r="C122" s="186"/>
      <c r="D122" s="275"/>
      <c r="E122" s="122"/>
    </row>
    <row r="123" spans="1:5" ht="12" customHeight="1">
      <c r="A123" s="215" t="s">
        <v>134</v>
      </c>
      <c r="B123" s="66" t="s">
        <v>290</v>
      </c>
      <c r="C123" s="186"/>
      <c r="D123" s="275"/>
      <c r="E123" s="122"/>
    </row>
    <row r="124" spans="1:5" ht="12" customHeight="1">
      <c r="A124" s="215" t="s">
        <v>135</v>
      </c>
      <c r="B124" s="66" t="s">
        <v>289</v>
      </c>
      <c r="C124" s="186"/>
      <c r="D124" s="275"/>
      <c r="E124" s="122"/>
    </row>
    <row r="125" spans="1:5" ht="12" customHeight="1">
      <c r="A125" s="215" t="s">
        <v>282</v>
      </c>
      <c r="B125" s="66" t="s">
        <v>277</v>
      </c>
      <c r="C125" s="186"/>
      <c r="D125" s="275"/>
      <c r="E125" s="122"/>
    </row>
    <row r="126" spans="1:5" ht="12" customHeight="1">
      <c r="A126" s="215" t="s">
        <v>283</v>
      </c>
      <c r="B126" s="66" t="s">
        <v>288</v>
      </c>
      <c r="C126" s="186"/>
      <c r="D126" s="275"/>
      <c r="E126" s="122"/>
    </row>
    <row r="127" spans="1:5" ht="12" customHeight="1" thickBot="1">
      <c r="A127" s="224" t="s">
        <v>284</v>
      </c>
      <c r="B127" s="66" t="s">
        <v>287</v>
      </c>
      <c r="C127" s="188"/>
      <c r="D127" s="276"/>
      <c r="E127" s="124"/>
    </row>
    <row r="128" spans="1:5" ht="12" customHeight="1" thickBot="1">
      <c r="A128" s="25" t="s">
        <v>11</v>
      </c>
      <c r="B128" s="59" t="s">
        <v>365</v>
      </c>
      <c r="C128" s="185">
        <f>+C93+C114</f>
        <v>850706873</v>
      </c>
      <c r="D128" s="273">
        <f>+D93+D114</f>
        <v>2450753510</v>
      </c>
      <c r="E128" s="121">
        <f>+E93+E114</f>
        <v>1372542245</v>
      </c>
    </row>
    <row r="129" spans="1:11" ht="12" customHeight="1" thickBot="1">
      <c r="A129" s="25" t="s">
        <v>12</v>
      </c>
      <c r="B129" s="59" t="s">
        <v>366</v>
      </c>
      <c r="C129" s="185">
        <f>+C130+C131+C132</f>
        <v>0</v>
      </c>
      <c r="D129" s="273">
        <f>+D130+D131+D132</f>
        <v>0</v>
      </c>
      <c r="E129" s="121">
        <f>+E130+E131+E132</f>
        <v>0</v>
      </c>
    </row>
    <row r="130" spans="1:11" s="55" customFormat="1" ht="12" customHeight="1">
      <c r="A130" s="215" t="s">
        <v>190</v>
      </c>
      <c r="B130" s="7" t="s">
        <v>423</v>
      </c>
      <c r="C130" s="186"/>
      <c r="D130" s="275"/>
      <c r="E130" s="122"/>
    </row>
    <row r="131" spans="1:11" ht="12" customHeight="1">
      <c r="A131" s="215" t="s">
        <v>191</v>
      </c>
      <c r="B131" s="7" t="s">
        <v>374</v>
      </c>
      <c r="C131" s="186"/>
      <c r="D131" s="275"/>
      <c r="E131" s="122"/>
    </row>
    <row r="132" spans="1:11" ht="12" customHeight="1" thickBot="1">
      <c r="A132" s="224" t="s">
        <v>192</v>
      </c>
      <c r="B132" s="5" t="s">
        <v>422</v>
      </c>
      <c r="C132" s="186"/>
      <c r="D132" s="275"/>
      <c r="E132" s="122"/>
    </row>
    <row r="133" spans="1:11" ht="12" customHeight="1" thickBot="1">
      <c r="A133" s="25" t="s">
        <v>13</v>
      </c>
      <c r="B133" s="59" t="s">
        <v>367</v>
      </c>
      <c r="C133" s="185">
        <f>+C134+C135+C136+C137+C138+C139</f>
        <v>0</v>
      </c>
      <c r="D133" s="273">
        <f>+D134+D135+D136+D137+D138+D139</f>
        <v>0</v>
      </c>
      <c r="E133" s="121">
        <f>+E134+E135+E136+E137+E138+E139</f>
        <v>0</v>
      </c>
    </row>
    <row r="134" spans="1:11" ht="12" customHeight="1">
      <c r="A134" s="215" t="s">
        <v>60</v>
      </c>
      <c r="B134" s="7" t="s">
        <v>376</v>
      </c>
      <c r="C134" s="186"/>
      <c r="D134" s="275"/>
      <c r="E134" s="122"/>
    </row>
    <row r="135" spans="1:11" ht="12" customHeight="1">
      <c r="A135" s="215" t="s">
        <v>61</v>
      </c>
      <c r="B135" s="7" t="s">
        <v>368</v>
      </c>
      <c r="C135" s="186"/>
      <c r="D135" s="275"/>
      <c r="E135" s="122"/>
    </row>
    <row r="136" spans="1:11" ht="12" customHeight="1">
      <c r="A136" s="215" t="s">
        <v>62</v>
      </c>
      <c r="B136" s="7" t="s">
        <v>369</v>
      </c>
      <c r="C136" s="186"/>
      <c r="D136" s="275"/>
      <c r="E136" s="122"/>
    </row>
    <row r="137" spans="1:11" ht="12" customHeight="1">
      <c r="A137" s="215" t="s">
        <v>120</v>
      </c>
      <c r="B137" s="7" t="s">
        <v>421</v>
      </c>
      <c r="C137" s="186"/>
      <c r="D137" s="275"/>
      <c r="E137" s="122"/>
    </row>
    <row r="138" spans="1:11" ht="12" customHeight="1">
      <c r="A138" s="215" t="s">
        <v>121</v>
      </c>
      <c r="B138" s="7" t="s">
        <v>371</v>
      </c>
      <c r="C138" s="186"/>
      <c r="D138" s="275"/>
      <c r="E138" s="122"/>
    </row>
    <row r="139" spans="1:11" s="55" customFormat="1" ht="12" customHeight="1" thickBot="1">
      <c r="A139" s="224" t="s">
        <v>122</v>
      </c>
      <c r="B139" s="5" t="s">
        <v>372</v>
      </c>
      <c r="C139" s="186"/>
      <c r="D139" s="275"/>
      <c r="E139" s="122"/>
    </row>
    <row r="140" spans="1:11" ht="12" customHeight="1" thickBot="1">
      <c r="A140" s="25" t="s">
        <v>14</v>
      </c>
      <c r="B140" s="59" t="s">
        <v>436</v>
      </c>
      <c r="C140" s="191">
        <f>+C141+C142+C144+C145+C143</f>
        <v>261540027</v>
      </c>
      <c r="D140" s="277">
        <f>+D141+D142+D144+D145+D143</f>
        <v>268428073</v>
      </c>
      <c r="E140" s="227">
        <f>+E141+E142+E144+E145+E143</f>
        <v>134329818</v>
      </c>
      <c r="K140" s="106"/>
    </row>
    <row r="141" spans="1:11">
      <c r="A141" s="215" t="s">
        <v>63</v>
      </c>
      <c r="B141" s="7" t="s">
        <v>292</v>
      </c>
      <c r="C141" s="186"/>
      <c r="D141" s="275"/>
      <c r="E141" s="122"/>
    </row>
    <row r="142" spans="1:11" ht="12" customHeight="1">
      <c r="A142" s="215" t="s">
        <v>64</v>
      </c>
      <c r="B142" s="7" t="s">
        <v>293</v>
      </c>
      <c r="C142" s="186">
        <v>4582927</v>
      </c>
      <c r="D142" s="275">
        <v>11470973</v>
      </c>
      <c r="E142" s="122">
        <v>11470973</v>
      </c>
    </row>
    <row r="143" spans="1:11" ht="12" customHeight="1">
      <c r="A143" s="215" t="s">
        <v>209</v>
      </c>
      <c r="B143" s="7" t="s">
        <v>435</v>
      </c>
      <c r="C143" s="186">
        <v>256957100</v>
      </c>
      <c r="D143" s="275">
        <v>256957100</v>
      </c>
      <c r="E143" s="122">
        <v>122858845</v>
      </c>
    </row>
    <row r="144" spans="1:11" s="55" customFormat="1" ht="12" customHeight="1">
      <c r="A144" s="215" t="s">
        <v>210</v>
      </c>
      <c r="B144" s="7" t="s">
        <v>381</v>
      </c>
      <c r="C144" s="186"/>
      <c r="D144" s="275"/>
      <c r="E144" s="122"/>
    </row>
    <row r="145" spans="1:5" s="55" customFormat="1" ht="12" customHeight="1" thickBot="1">
      <c r="A145" s="224" t="s">
        <v>211</v>
      </c>
      <c r="B145" s="5" t="s">
        <v>311</v>
      </c>
      <c r="C145" s="186"/>
      <c r="D145" s="275"/>
      <c r="E145" s="122"/>
    </row>
    <row r="146" spans="1:5" s="55" customFormat="1" ht="12" customHeight="1" thickBot="1">
      <c r="A146" s="25" t="s">
        <v>15</v>
      </c>
      <c r="B146" s="59" t="s">
        <v>382</v>
      </c>
      <c r="C146" s="266">
        <f>+C147+C148+C149+C150+C151</f>
        <v>0</v>
      </c>
      <c r="D146" s="278">
        <f>+D147+D148+D149+D150+D151</f>
        <v>0</v>
      </c>
      <c r="E146" s="260">
        <f>+E147+E148+E149+E150+E151</f>
        <v>0</v>
      </c>
    </row>
    <row r="147" spans="1:5" s="55" customFormat="1" ht="12" customHeight="1">
      <c r="A147" s="215" t="s">
        <v>65</v>
      </c>
      <c r="B147" s="7" t="s">
        <v>377</v>
      </c>
      <c r="C147" s="186"/>
      <c r="D147" s="275"/>
      <c r="E147" s="122"/>
    </row>
    <row r="148" spans="1:5" s="55" customFormat="1" ht="12" customHeight="1">
      <c r="A148" s="215" t="s">
        <v>66</v>
      </c>
      <c r="B148" s="7" t="s">
        <v>384</v>
      </c>
      <c r="C148" s="186"/>
      <c r="D148" s="275"/>
      <c r="E148" s="122"/>
    </row>
    <row r="149" spans="1:5" s="55" customFormat="1" ht="12" customHeight="1">
      <c r="A149" s="215" t="s">
        <v>221</v>
      </c>
      <c r="B149" s="7" t="s">
        <v>379</v>
      </c>
      <c r="C149" s="186"/>
      <c r="D149" s="275"/>
      <c r="E149" s="122"/>
    </row>
    <row r="150" spans="1:5" s="55" customFormat="1" ht="12" customHeight="1">
      <c r="A150" s="215" t="s">
        <v>222</v>
      </c>
      <c r="B150" s="7" t="s">
        <v>424</v>
      </c>
      <c r="C150" s="186"/>
      <c r="D150" s="275"/>
      <c r="E150" s="122"/>
    </row>
    <row r="151" spans="1:5" ht="12.75" customHeight="1" thickBot="1">
      <c r="A151" s="224" t="s">
        <v>383</v>
      </c>
      <c r="B151" s="5" t="s">
        <v>386</v>
      </c>
      <c r="C151" s="188"/>
      <c r="D151" s="276"/>
      <c r="E151" s="124"/>
    </row>
    <row r="152" spans="1:5" ht="12.75" customHeight="1" thickBot="1">
      <c r="A152" s="255" t="s">
        <v>16</v>
      </c>
      <c r="B152" s="59" t="s">
        <v>387</v>
      </c>
      <c r="C152" s="266"/>
      <c r="D152" s="278"/>
      <c r="E152" s="260"/>
    </row>
    <row r="153" spans="1:5" ht="12.75" customHeight="1" thickBot="1">
      <c r="A153" s="255" t="s">
        <v>17</v>
      </c>
      <c r="B153" s="59" t="s">
        <v>388</v>
      </c>
      <c r="C153" s="266"/>
      <c r="D153" s="278"/>
      <c r="E153" s="260"/>
    </row>
    <row r="154" spans="1:5" ht="12" customHeight="1" thickBot="1">
      <c r="A154" s="25" t="s">
        <v>18</v>
      </c>
      <c r="B154" s="59" t="s">
        <v>390</v>
      </c>
      <c r="C154" s="268">
        <f>+C129+C133+C140+C146+C152+C153</f>
        <v>261540027</v>
      </c>
      <c r="D154" s="280">
        <f>+D129+D133+D140+D146+D152+D153</f>
        <v>268428073</v>
      </c>
      <c r="E154" s="262">
        <f>+E129+E133+E140+E146+E152+E153</f>
        <v>134329818</v>
      </c>
    </row>
    <row r="155" spans="1:5" ht="15.2" customHeight="1" thickBot="1">
      <c r="A155" s="226" t="s">
        <v>19</v>
      </c>
      <c r="B155" s="172" t="s">
        <v>389</v>
      </c>
      <c r="C155" s="268">
        <f>+C128+C154</f>
        <v>1112246900</v>
      </c>
      <c r="D155" s="280">
        <f>+D128+D154</f>
        <v>2719181583</v>
      </c>
      <c r="E155" s="262">
        <f>+E128+E154</f>
        <v>1506872063</v>
      </c>
    </row>
    <row r="156" spans="1:5" ht="13.5" thickBot="1">
      <c r="A156" s="175"/>
      <c r="B156" s="176"/>
      <c r="C156" s="464">
        <f>C90-C155</f>
        <v>-24003500</v>
      </c>
      <c r="D156" s="464">
        <f>D90-D155</f>
        <v>-24053500</v>
      </c>
      <c r="E156" s="177"/>
    </row>
    <row r="157" spans="1:5" ht="15.2" customHeight="1" thickBot="1">
      <c r="A157" s="350" t="s">
        <v>512</v>
      </c>
      <c r="B157" s="351"/>
      <c r="C157" s="339"/>
      <c r="D157" s="339"/>
      <c r="E157" s="338"/>
    </row>
    <row r="158" spans="1:5" ht="14.45" customHeight="1" thickBot="1">
      <c r="A158" s="352" t="s">
        <v>513</v>
      </c>
      <c r="B158" s="353"/>
      <c r="C158" s="339"/>
      <c r="D158" s="339"/>
      <c r="E158" s="338"/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K158"/>
  <sheetViews>
    <sheetView zoomScale="114" zoomScaleNormal="114" zoomScaleSheetLayoutView="100" workbookViewId="0">
      <selection activeCell="E2" sqref="E2"/>
    </sheetView>
  </sheetViews>
  <sheetFormatPr defaultRowHeight="12.75"/>
  <cols>
    <col min="1" max="1" width="16.1640625" style="178" customWidth="1"/>
    <col min="2" max="2" width="62" style="179" customWidth="1"/>
    <col min="3" max="3" width="14.1640625" style="180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408"/>
      <c r="B1" s="420"/>
      <c r="C1" s="421"/>
      <c r="D1" s="421"/>
      <c r="E1" s="466" t="str">
        <f>CONCATENATE("9.1.2. melléklet ",IB_ALAPADATOK!A7," ",IB_ALAPADATOK!B7," ",IB_ALAPADATOK!C7," ",IB_ALAPADATOK!D7)</f>
        <v xml:space="preserve">9.1.2. melléklet a 7/2019.(X.09.)  önkormányzati rendelethez </v>
      </c>
    </row>
    <row r="2" spans="1:5" s="51" customFormat="1" ht="21.2" customHeight="1" thickBot="1">
      <c r="A2" s="417" t="s">
        <v>48</v>
      </c>
      <c r="B2" s="533" t="str">
        <f>CONCATENATE(IB_ALAPADATOK!A3)</f>
        <v>BORSODNÁDASD VÁROS ÖNKORMÁNYZATA</v>
      </c>
      <c r="C2" s="533"/>
      <c r="D2" s="533"/>
      <c r="E2" s="418" t="s">
        <v>42</v>
      </c>
    </row>
    <row r="3" spans="1:5" s="51" customFormat="1" ht="24.75" thickBot="1">
      <c r="A3" s="417" t="s">
        <v>141</v>
      </c>
      <c r="B3" s="533" t="s">
        <v>339</v>
      </c>
      <c r="C3" s="533"/>
      <c r="D3" s="533"/>
      <c r="E3" s="419" t="s">
        <v>46</v>
      </c>
    </row>
    <row r="4" spans="1:5" s="52" customFormat="1" ht="15.95" customHeight="1" thickBot="1">
      <c r="A4" s="411"/>
      <c r="B4" s="411"/>
      <c r="C4" s="412"/>
      <c r="D4" s="413"/>
      <c r="E4" s="412" t="str">
        <f>'9.1.1.sz.mell'!E4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47" customFormat="1" ht="12.95" customHeight="1" thickBot="1">
      <c r="A6" s="84" t="s">
        <v>404</v>
      </c>
      <c r="B6" s="85" t="s">
        <v>405</v>
      </c>
      <c r="C6" s="85" t="s">
        <v>406</v>
      </c>
      <c r="D6" s="333" t="s">
        <v>408</v>
      </c>
      <c r="E6" s="86" t="s">
        <v>407</v>
      </c>
    </row>
    <row r="7" spans="1:5" s="47" customFormat="1" ht="15.95" customHeight="1" thickBot="1">
      <c r="A7" s="530" t="s">
        <v>43</v>
      </c>
      <c r="B7" s="531"/>
      <c r="C7" s="531"/>
      <c r="D7" s="531"/>
      <c r="E7" s="532"/>
    </row>
    <row r="8" spans="1:5" s="47" customFormat="1" ht="12" customHeight="1" thickBot="1">
      <c r="A8" s="25" t="s">
        <v>9</v>
      </c>
      <c r="B8" s="19" t="s">
        <v>175</v>
      </c>
      <c r="C8" s="185">
        <f>+C9+C10+C11+C12+C13+C14</f>
        <v>0</v>
      </c>
      <c r="D8" s="273">
        <f>+D9+D10+D11+D12+D13+D14</f>
        <v>0</v>
      </c>
      <c r="E8" s="121">
        <f>+E9+E10+E11+E12+E13+E14</f>
        <v>0</v>
      </c>
    </row>
    <row r="9" spans="1:5" s="53" customFormat="1" ht="12" customHeight="1">
      <c r="A9" s="215" t="s">
        <v>67</v>
      </c>
      <c r="B9" s="198" t="s">
        <v>176</v>
      </c>
      <c r="C9" s="187">
        <v>0</v>
      </c>
      <c r="D9" s="274">
        <v>0</v>
      </c>
      <c r="E9" s="123">
        <v>0</v>
      </c>
    </row>
    <row r="10" spans="1:5" s="54" customFormat="1" ht="12" customHeight="1">
      <c r="A10" s="216" t="s">
        <v>68</v>
      </c>
      <c r="B10" s="199" t="s">
        <v>177</v>
      </c>
      <c r="C10" s="186">
        <v>0</v>
      </c>
      <c r="D10" s="275">
        <v>0</v>
      </c>
      <c r="E10" s="122">
        <v>0</v>
      </c>
    </row>
    <row r="11" spans="1:5" s="54" customFormat="1" ht="12" customHeight="1">
      <c r="A11" s="216" t="s">
        <v>69</v>
      </c>
      <c r="B11" s="199" t="s">
        <v>178</v>
      </c>
      <c r="C11" s="186">
        <v>0</v>
      </c>
      <c r="D11" s="275">
        <v>0</v>
      </c>
      <c r="E11" s="122">
        <v>0</v>
      </c>
    </row>
    <row r="12" spans="1:5" s="54" customFormat="1" ht="12" customHeight="1">
      <c r="A12" s="216" t="s">
        <v>70</v>
      </c>
      <c r="B12" s="199" t="s">
        <v>179</v>
      </c>
      <c r="C12" s="186">
        <v>0</v>
      </c>
      <c r="D12" s="275">
        <v>0</v>
      </c>
      <c r="E12" s="122">
        <v>0</v>
      </c>
    </row>
    <row r="13" spans="1:5" s="54" customFormat="1" ht="12" customHeight="1">
      <c r="A13" s="216" t="s">
        <v>102</v>
      </c>
      <c r="B13" s="199" t="s">
        <v>412</v>
      </c>
      <c r="C13" s="186"/>
      <c r="D13" s="275">
        <v>0</v>
      </c>
      <c r="E13" s="122">
        <v>0</v>
      </c>
    </row>
    <row r="14" spans="1:5" s="53" customFormat="1" ht="12" customHeight="1" thickBot="1">
      <c r="A14" s="217" t="s">
        <v>71</v>
      </c>
      <c r="B14" s="200" t="s">
        <v>350</v>
      </c>
      <c r="C14" s="186"/>
      <c r="D14" s="275"/>
      <c r="E14" s="122"/>
    </row>
    <row r="15" spans="1:5" s="53" customFormat="1" ht="12" customHeight="1" thickBot="1">
      <c r="A15" s="25" t="s">
        <v>10</v>
      </c>
      <c r="B15" s="128" t="s">
        <v>180</v>
      </c>
      <c r="C15" s="185">
        <f>+C16+C17+C18+C19+C20</f>
        <v>0</v>
      </c>
      <c r="D15" s="273">
        <f>+D16+D17+D18+D19+D20</f>
        <v>0</v>
      </c>
      <c r="E15" s="121">
        <f>+E16+E17+E18+E19+E20</f>
        <v>0</v>
      </c>
    </row>
    <row r="16" spans="1:5" s="53" customFormat="1" ht="12" customHeight="1">
      <c r="A16" s="215" t="s">
        <v>73</v>
      </c>
      <c r="B16" s="198" t="s">
        <v>181</v>
      </c>
      <c r="C16" s="187"/>
      <c r="D16" s="274"/>
      <c r="E16" s="123"/>
    </row>
    <row r="17" spans="1:5" s="53" customFormat="1" ht="12" customHeight="1">
      <c r="A17" s="216" t="s">
        <v>74</v>
      </c>
      <c r="B17" s="199" t="s">
        <v>182</v>
      </c>
      <c r="C17" s="186"/>
      <c r="D17" s="275"/>
      <c r="E17" s="122"/>
    </row>
    <row r="18" spans="1:5" s="53" customFormat="1" ht="12" customHeight="1">
      <c r="A18" s="216" t="s">
        <v>75</v>
      </c>
      <c r="B18" s="199" t="s">
        <v>341</v>
      </c>
      <c r="C18" s="186"/>
      <c r="D18" s="275"/>
      <c r="E18" s="122"/>
    </row>
    <row r="19" spans="1:5" s="53" customFormat="1" ht="12" customHeight="1">
      <c r="A19" s="216" t="s">
        <v>76</v>
      </c>
      <c r="B19" s="199" t="s">
        <v>342</v>
      </c>
      <c r="C19" s="186"/>
      <c r="D19" s="275"/>
      <c r="E19" s="122"/>
    </row>
    <row r="20" spans="1:5" s="53" customFormat="1" ht="12" customHeight="1">
      <c r="A20" s="216" t="s">
        <v>77</v>
      </c>
      <c r="B20" s="199" t="s">
        <v>183</v>
      </c>
      <c r="C20" s="186">
        <v>0</v>
      </c>
      <c r="D20" s="275">
        <v>0</v>
      </c>
      <c r="E20" s="122">
        <v>0</v>
      </c>
    </row>
    <row r="21" spans="1:5" s="54" customFormat="1" ht="12" customHeight="1" thickBot="1">
      <c r="A21" s="217" t="s">
        <v>84</v>
      </c>
      <c r="B21" s="200" t="s">
        <v>184</v>
      </c>
      <c r="C21" s="188"/>
      <c r="D21" s="276"/>
      <c r="E21" s="124"/>
    </row>
    <row r="22" spans="1:5" s="54" customFormat="1" ht="12" customHeight="1" thickBot="1">
      <c r="A22" s="25" t="s">
        <v>11</v>
      </c>
      <c r="B22" s="19" t="s">
        <v>185</v>
      </c>
      <c r="C22" s="185">
        <f>+C23+C24+C25+C26+C27</f>
        <v>0</v>
      </c>
      <c r="D22" s="273">
        <f>+D23+D24+D25+D26+D27</f>
        <v>0</v>
      </c>
      <c r="E22" s="121">
        <f>+E23+E24+E25+E26+E27</f>
        <v>0</v>
      </c>
    </row>
    <row r="23" spans="1:5" s="54" customFormat="1" ht="12" customHeight="1">
      <c r="A23" s="215" t="s">
        <v>56</v>
      </c>
      <c r="B23" s="198" t="s">
        <v>186</v>
      </c>
      <c r="C23" s="187"/>
      <c r="D23" s="274"/>
      <c r="E23" s="123"/>
    </row>
    <row r="24" spans="1:5" s="53" customFormat="1" ht="12" customHeight="1">
      <c r="A24" s="216" t="s">
        <v>57</v>
      </c>
      <c r="B24" s="199" t="s">
        <v>187</v>
      </c>
      <c r="C24" s="186"/>
      <c r="D24" s="275"/>
      <c r="E24" s="122"/>
    </row>
    <row r="25" spans="1:5" s="54" customFormat="1" ht="12" customHeight="1">
      <c r="A25" s="216" t="s">
        <v>58</v>
      </c>
      <c r="B25" s="199" t="s">
        <v>343</v>
      </c>
      <c r="C25" s="186"/>
      <c r="D25" s="275">
        <v>0</v>
      </c>
      <c r="E25" s="122">
        <v>0</v>
      </c>
    </row>
    <row r="26" spans="1:5" s="54" customFormat="1" ht="12" customHeight="1">
      <c r="A26" s="216" t="s">
        <v>59</v>
      </c>
      <c r="B26" s="199" t="s">
        <v>344</v>
      </c>
      <c r="C26" s="186"/>
      <c r="D26" s="275"/>
      <c r="E26" s="122"/>
    </row>
    <row r="27" spans="1:5" s="54" customFormat="1" ht="12" customHeight="1">
      <c r="A27" s="216" t="s">
        <v>116</v>
      </c>
      <c r="B27" s="199" t="s">
        <v>188</v>
      </c>
      <c r="C27" s="186"/>
      <c r="D27" s="275">
        <v>0</v>
      </c>
      <c r="E27" s="122">
        <v>0</v>
      </c>
    </row>
    <row r="28" spans="1:5" s="54" customFormat="1" ht="12" customHeight="1" thickBot="1">
      <c r="A28" s="217" t="s">
        <v>117</v>
      </c>
      <c r="B28" s="200" t="s">
        <v>189</v>
      </c>
      <c r="C28" s="188"/>
      <c r="D28" s="276"/>
      <c r="E28" s="124"/>
    </row>
    <row r="29" spans="1:5" s="54" customFormat="1" ht="12" customHeight="1" thickBot="1">
      <c r="A29" s="25" t="s">
        <v>118</v>
      </c>
      <c r="B29" s="19" t="s">
        <v>502</v>
      </c>
      <c r="C29" s="191">
        <f>SUM(C30:C36)</f>
        <v>7901000</v>
      </c>
      <c r="D29" s="191">
        <f>SUM(D30:D36)</f>
        <v>7951000</v>
      </c>
      <c r="E29" s="227">
        <f>SUM(E30:E36)</f>
        <v>2124800</v>
      </c>
    </row>
    <row r="30" spans="1:5" s="54" customFormat="1" ht="12" customHeight="1">
      <c r="A30" s="215" t="s">
        <v>190</v>
      </c>
      <c r="B30" s="198" t="s">
        <v>503</v>
      </c>
      <c r="C30" s="187">
        <v>0</v>
      </c>
      <c r="D30" s="187"/>
      <c r="E30" s="123"/>
    </row>
    <row r="31" spans="1:5" s="54" customFormat="1" ht="12" customHeight="1">
      <c r="A31" s="216" t="s">
        <v>191</v>
      </c>
      <c r="B31" s="199" t="s">
        <v>504</v>
      </c>
      <c r="C31" s="186"/>
      <c r="D31" s="186"/>
      <c r="E31" s="122"/>
    </row>
    <row r="32" spans="1:5" s="54" customFormat="1" ht="12" customHeight="1">
      <c r="A32" s="216" t="s">
        <v>192</v>
      </c>
      <c r="B32" s="199" t="s">
        <v>505</v>
      </c>
      <c r="C32" s="186">
        <v>7901000</v>
      </c>
      <c r="D32" s="186">
        <v>7951000</v>
      </c>
      <c r="E32" s="122">
        <v>2124800</v>
      </c>
    </row>
    <row r="33" spans="1:5" s="54" customFormat="1" ht="12" customHeight="1">
      <c r="A33" s="216" t="s">
        <v>193</v>
      </c>
      <c r="B33" s="199" t="s">
        <v>506</v>
      </c>
      <c r="C33" s="186"/>
      <c r="D33" s="186"/>
      <c r="E33" s="122"/>
    </row>
    <row r="34" spans="1:5" s="54" customFormat="1" ht="12" customHeight="1">
      <c r="A34" s="216" t="s">
        <v>507</v>
      </c>
      <c r="B34" s="199" t="s">
        <v>194</v>
      </c>
      <c r="C34" s="186">
        <v>0</v>
      </c>
      <c r="D34" s="186">
        <v>0</v>
      </c>
      <c r="E34" s="122">
        <v>0</v>
      </c>
    </row>
    <row r="35" spans="1:5" s="54" customFormat="1" ht="12" customHeight="1">
      <c r="A35" s="216" t="s">
        <v>508</v>
      </c>
      <c r="B35" s="199" t="s">
        <v>596</v>
      </c>
      <c r="C35" s="186"/>
      <c r="D35" s="186"/>
      <c r="E35" s="122"/>
    </row>
    <row r="36" spans="1:5" s="54" customFormat="1" ht="12" customHeight="1" thickBot="1">
      <c r="A36" s="217" t="s">
        <v>509</v>
      </c>
      <c r="B36" s="349" t="s">
        <v>195</v>
      </c>
      <c r="C36" s="188">
        <v>0</v>
      </c>
      <c r="D36" s="188">
        <v>0</v>
      </c>
      <c r="E36" s="124">
        <v>0</v>
      </c>
    </row>
    <row r="37" spans="1:5" s="54" customFormat="1" ht="12" customHeight="1" thickBot="1">
      <c r="A37" s="25" t="s">
        <v>13</v>
      </c>
      <c r="B37" s="19" t="s">
        <v>351</v>
      </c>
      <c r="C37" s="185">
        <f>SUM(C38:C48)</f>
        <v>0</v>
      </c>
      <c r="D37" s="273">
        <f>SUM(D38:D48)</f>
        <v>0</v>
      </c>
      <c r="E37" s="121">
        <f>SUM(E38:E48)</f>
        <v>0</v>
      </c>
    </row>
    <row r="38" spans="1:5" s="54" customFormat="1" ht="12" customHeight="1">
      <c r="A38" s="215" t="s">
        <v>60</v>
      </c>
      <c r="B38" s="198" t="s">
        <v>198</v>
      </c>
      <c r="C38" s="187">
        <v>0</v>
      </c>
      <c r="D38" s="274"/>
      <c r="E38" s="123">
        <v>0</v>
      </c>
    </row>
    <row r="39" spans="1:5" s="54" customFormat="1" ht="12" customHeight="1">
      <c r="A39" s="216" t="s">
        <v>61</v>
      </c>
      <c r="B39" s="199" t="s">
        <v>199</v>
      </c>
      <c r="C39" s="186">
        <v>0</v>
      </c>
      <c r="D39" s="275">
        <v>0</v>
      </c>
      <c r="E39" s="122">
        <v>0</v>
      </c>
    </row>
    <row r="40" spans="1:5" s="54" customFormat="1" ht="12" customHeight="1">
      <c r="A40" s="216" t="s">
        <v>62</v>
      </c>
      <c r="B40" s="199" t="s">
        <v>200</v>
      </c>
      <c r="C40" s="186"/>
      <c r="D40" s="275">
        <v>0</v>
      </c>
      <c r="E40" s="122">
        <v>0</v>
      </c>
    </row>
    <row r="41" spans="1:5" s="54" customFormat="1" ht="12" customHeight="1">
      <c r="A41" s="216" t="s">
        <v>120</v>
      </c>
      <c r="B41" s="199" t="s">
        <v>201</v>
      </c>
      <c r="C41" s="186"/>
      <c r="D41" s="275"/>
      <c r="E41" s="122"/>
    </row>
    <row r="42" spans="1:5" s="54" customFormat="1" ht="12" customHeight="1">
      <c r="A42" s="216" t="s">
        <v>121</v>
      </c>
      <c r="B42" s="199" t="s">
        <v>202</v>
      </c>
      <c r="C42" s="186"/>
      <c r="D42" s="275"/>
      <c r="E42" s="122"/>
    </row>
    <row r="43" spans="1:5" s="54" customFormat="1" ht="12" customHeight="1">
      <c r="A43" s="216" t="s">
        <v>122</v>
      </c>
      <c r="B43" s="199" t="s">
        <v>203</v>
      </c>
      <c r="C43" s="186">
        <v>0</v>
      </c>
      <c r="D43" s="275">
        <v>0</v>
      </c>
      <c r="E43" s="122">
        <v>0</v>
      </c>
    </row>
    <row r="44" spans="1:5" s="54" customFormat="1" ht="12" customHeight="1">
      <c r="A44" s="216" t="s">
        <v>123</v>
      </c>
      <c r="B44" s="199" t="s">
        <v>204</v>
      </c>
      <c r="C44" s="186"/>
      <c r="D44" s="275"/>
      <c r="E44" s="122"/>
    </row>
    <row r="45" spans="1:5" s="54" customFormat="1" ht="12" customHeight="1">
      <c r="A45" s="216" t="s">
        <v>124</v>
      </c>
      <c r="B45" s="199" t="s">
        <v>510</v>
      </c>
      <c r="C45" s="186">
        <v>0</v>
      </c>
      <c r="D45" s="275">
        <v>0</v>
      </c>
      <c r="E45" s="122">
        <v>0</v>
      </c>
    </row>
    <row r="46" spans="1:5" s="54" customFormat="1" ht="12" customHeight="1">
      <c r="A46" s="216" t="s">
        <v>196</v>
      </c>
      <c r="B46" s="199" t="s">
        <v>206</v>
      </c>
      <c r="C46" s="189"/>
      <c r="D46" s="334">
        <v>0</v>
      </c>
      <c r="E46" s="125">
        <v>0</v>
      </c>
    </row>
    <row r="47" spans="1:5" s="54" customFormat="1" ht="12" customHeight="1">
      <c r="A47" s="217" t="s">
        <v>197</v>
      </c>
      <c r="B47" s="200" t="s">
        <v>353</v>
      </c>
      <c r="C47" s="190"/>
      <c r="D47" s="335">
        <v>0</v>
      </c>
      <c r="E47" s="126">
        <v>0</v>
      </c>
    </row>
    <row r="48" spans="1:5" s="54" customFormat="1" ht="12" customHeight="1" thickBot="1">
      <c r="A48" s="217" t="s">
        <v>352</v>
      </c>
      <c r="B48" s="200" t="s">
        <v>207</v>
      </c>
      <c r="C48" s="190"/>
      <c r="D48" s="335">
        <v>0</v>
      </c>
      <c r="E48" s="126">
        <v>0</v>
      </c>
    </row>
    <row r="49" spans="1:5" s="54" customFormat="1" ht="12" customHeight="1" thickBot="1">
      <c r="A49" s="25" t="s">
        <v>14</v>
      </c>
      <c r="B49" s="19" t="s">
        <v>208</v>
      </c>
      <c r="C49" s="185">
        <f>SUM(C50:C54)</f>
        <v>0</v>
      </c>
      <c r="D49" s="273">
        <f>SUM(D50:D54)</f>
        <v>0</v>
      </c>
      <c r="E49" s="121">
        <f>SUM(E50:E54)</f>
        <v>0</v>
      </c>
    </row>
    <row r="50" spans="1:5" s="54" customFormat="1" ht="12" customHeight="1">
      <c r="A50" s="215" t="s">
        <v>63</v>
      </c>
      <c r="B50" s="198" t="s">
        <v>212</v>
      </c>
      <c r="C50" s="238"/>
      <c r="D50" s="336"/>
      <c r="E50" s="127"/>
    </row>
    <row r="51" spans="1:5" s="54" customFormat="1" ht="12" customHeight="1">
      <c r="A51" s="216" t="s">
        <v>64</v>
      </c>
      <c r="B51" s="199" t="s">
        <v>213</v>
      </c>
      <c r="C51" s="189"/>
      <c r="D51" s="334"/>
      <c r="E51" s="125"/>
    </row>
    <row r="52" spans="1:5" s="54" customFormat="1" ht="12" customHeight="1">
      <c r="A52" s="216" t="s">
        <v>209</v>
      </c>
      <c r="B52" s="199" t="s">
        <v>214</v>
      </c>
      <c r="C52" s="189"/>
      <c r="D52" s="334"/>
      <c r="E52" s="125"/>
    </row>
    <row r="53" spans="1:5" s="54" customFormat="1" ht="12" customHeight="1">
      <c r="A53" s="216" t="s">
        <v>210</v>
      </c>
      <c r="B53" s="199" t="s">
        <v>215</v>
      </c>
      <c r="C53" s="189"/>
      <c r="D53" s="334"/>
      <c r="E53" s="125"/>
    </row>
    <row r="54" spans="1:5" s="54" customFormat="1" ht="12" customHeight="1" thickBot="1">
      <c r="A54" s="217" t="s">
        <v>211</v>
      </c>
      <c r="B54" s="200" t="s">
        <v>216</v>
      </c>
      <c r="C54" s="190"/>
      <c r="D54" s="335"/>
      <c r="E54" s="126"/>
    </row>
    <row r="55" spans="1:5" s="54" customFormat="1" ht="12" customHeight="1" thickBot="1">
      <c r="A55" s="25" t="s">
        <v>125</v>
      </c>
      <c r="B55" s="19" t="s">
        <v>217</v>
      </c>
      <c r="C55" s="185">
        <f>SUM(C56:C58)</f>
        <v>0</v>
      </c>
      <c r="D55" s="273">
        <f>SUM(D56:D58)</f>
        <v>0</v>
      </c>
      <c r="E55" s="121">
        <f>SUM(E56:E58)</f>
        <v>0</v>
      </c>
    </row>
    <row r="56" spans="1:5" s="54" customFormat="1" ht="12" customHeight="1">
      <c r="A56" s="215" t="s">
        <v>65</v>
      </c>
      <c r="B56" s="198" t="s">
        <v>218</v>
      </c>
      <c r="C56" s="187"/>
      <c r="D56" s="274"/>
      <c r="E56" s="123"/>
    </row>
    <row r="57" spans="1:5" s="54" customFormat="1" ht="12" customHeight="1">
      <c r="A57" s="216" t="s">
        <v>66</v>
      </c>
      <c r="B57" s="199" t="s">
        <v>345</v>
      </c>
      <c r="C57" s="186"/>
      <c r="D57" s="275"/>
      <c r="E57" s="122"/>
    </row>
    <row r="58" spans="1:5" s="54" customFormat="1" ht="12" customHeight="1">
      <c r="A58" s="216" t="s">
        <v>221</v>
      </c>
      <c r="B58" s="199" t="s">
        <v>219</v>
      </c>
      <c r="C58" s="186"/>
      <c r="D58" s="275"/>
      <c r="E58" s="122"/>
    </row>
    <row r="59" spans="1:5" s="54" customFormat="1" ht="12" customHeight="1" thickBot="1">
      <c r="A59" s="217" t="s">
        <v>222</v>
      </c>
      <c r="B59" s="200" t="s">
        <v>220</v>
      </c>
      <c r="C59" s="188"/>
      <c r="D59" s="276"/>
      <c r="E59" s="124"/>
    </row>
    <row r="60" spans="1:5" s="54" customFormat="1" ht="12" customHeight="1" thickBot="1">
      <c r="A60" s="25" t="s">
        <v>16</v>
      </c>
      <c r="B60" s="128" t="s">
        <v>223</v>
      </c>
      <c r="C60" s="185">
        <f>SUM(C61:C63)</f>
        <v>0</v>
      </c>
      <c r="D60" s="273">
        <f>SUM(D61:D63)</f>
        <v>0</v>
      </c>
      <c r="E60" s="121">
        <f>SUM(E61:E63)</f>
        <v>0</v>
      </c>
    </row>
    <row r="61" spans="1:5" s="54" customFormat="1" ht="12" customHeight="1">
      <c r="A61" s="215" t="s">
        <v>126</v>
      </c>
      <c r="B61" s="198" t="s">
        <v>225</v>
      </c>
      <c r="C61" s="189"/>
      <c r="D61" s="334"/>
      <c r="E61" s="125"/>
    </row>
    <row r="62" spans="1:5" s="54" customFormat="1" ht="12" customHeight="1">
      <c r="A62" s="216" t="s">
        <v>127</v>
      </c>
      <c r="B62" s="199" t="s">
        <v>346</v>
      </c>
      <c r="C62" s="189"/>
      <c r="D62" s="334"/>
      <c r="E62" s="125"/>
    </row>
    <row r="63" spans="1:5" s="54" customFormat="1" ht="12" customHeight="1">
      <c r="A63" s="216" t="s">
        <v>158</v>
      </c>
      <c r="B63" s="199" t="s">
        <v>226</v>
      </c>
      <c r="C63" s="189"/>
      <c r="D63" s="334">
        <v>0</v>
      </c>
      <c r="E63" s="125">
        <v>0</v>
      </c>
    </row>
    <row r="64" spans="1:5" s="54" customFormat="1" ht="12" customHeight="1" thickBot="1">
      <c r="A64" s="217" t="s">
        <v>224</v>
      </c>
      <c r="B64" s="200" t="s">
        <v>227</v>
      </c>
      <c r="C64" s="189"/>
      <c r="D64" s="334"/>
      <c r="E64" s="125"/>
    </row>
    <row r="65" spans="1:5" s="54" customFormat="1" ht="12" customHeight="1" thickBot="1">
      <c r="A65" s="25" t="s">
        <v>17</v>
      </c>
      <c r="B65" s="19" t="s">
        <v>228</v>
      </c>
      <c r="C65" s="191">
        <f>+C8+C15+C22+C29+C37+C49+C55+C60</f>
        <v>7901000</v>
      </c>
      <c r="D65" s="277">
        <f>+D8+D15+D22+D29+D37+D49+D55+D60</f>
        <v>7951000</v>
      </c>
      <c r="E65" s="227">
        <f>+E8+E15+E22+E29+E37+E49+E55+E60</f>
        <v>2124800</v>
      </c>
    </row>
    <row r="66" spans="1:5" s="54" customFormat="1" ht="12" customHeight="1" thickBot="1">
      <c r="A66" s="218" t="s">
        <v>315</v>
      </c>
      <c r="B66" s="128" t="s">
        <v>230</v>
      </c>
      <c r="C66" s="185">
        <f>SUM(C67:C69)</f>
        <v>0</v>
      </c>
      <c r="D66" s="273">
        <f>SUM(D67:D69)</f>
        <v>0</v>
      </c>
      <c r="E66" s="121">
        <f>SUM(E67:E69)</f>
        <v>0</v>
      </c>
    </row>
    <row r="67" spans="1:5" s="54" customFormat="1" ht="12" customHeight="1">
      <c r="A67" s="215" t="s">
        <v>258</v>
      </c>
      <c r="B67" s="198" t="s">
        <v>231</v>
      </c>
      <c r="C67" s="189"/>
      <c r="D67" s="334"/>
      <c r="E67" s="125"/>
    </row>
    <row r="68" spans="1:5" s="54" customFormat="1" ht="12" customHeight="1">
      <c r="A68" s="216" t="s">
        <v>267</v>
      </c>
      <c r="B68" s="199" t="s">
        <v>232</v>
      </c>
      <c r="C68" s="189"/>
      <c r="D68" s="334"/>
      <c r="E68" s="125"/>
    </row>
    <row r="69" spans="1:5" s="54" customFormat="1" ht="12" customHeight="1" thickBot="1">
      <c r="A69" s="217" t="s">
        <v>268</v>
      </c>
      <c r="B69" s="201" t="s">
        <v>233</v>
      </c>
      <c r="C69" s="189"/>
      <c r="D69" s="337"/>
      <c r="E69" s="125"/>
    </row>
    <row r="70" spans="1:5" s="54" customFormat="1" ht="12" customHeight="1" thickBot="1">
      <c r="A70" s="218" t="s">
        <v>234</v>
      </c>
      <c r="B70" s="128" t="s">
        <v>235</v>
      </c>
      <c r="C70" s="185">
        <f>SUM(C71:C74)</f>
        <v>0</v>
      </c>
      <c r="D70" s="185">
        <f>SUM(D71:D74)</f>
        <v>0</v>
      </c>
      <c r="E70" s="121">
        <f>SUM(E71:E74)</f>
        <v>0</v>
      </c>
    </row>
    <row r="71" spans="1:5" s="54" customFormat="1" ht="12" customHeight="1">
      <c r="A71" s="215" t="s">
        <v>103</v>
      </c>
      <c r="B71" s="388" t="s">
        <v>236</v>
      </c>
      <c r="C71" s="189"/>
      <c r="D71" s="189"/>
      <c r="E71" s="125"/>
    </row>
    <row r="72" spans="1:5" s="54" customFormat="1" ht="12" customHeight="1">
      <c r="A72" s="216" t="s">
        <v>104</v>
      </c>
      <c r="B72" s="388" t="s">
        <v>517</v>
      </c>
      <c r="C72" s="189"/>
      <c r="D72" s="189"/>
      <c r="E72" s="125"/>
    </row>
    <row r="73" spans="1:5" s="54" customFormat="1" ht="12" customHeight="1">
      <c r="A73" s="216" t="s">
        <v>259</v>
      </c>
      <c r="B73" s="388" t="s">
        <v>237</v>
      </c>
      <c r="C73" s="189"/>
      <c r="D73" s="189"/>
      <c r="E73" s="125"/>
    </row>
    <row r="74" spans="1:5" s="54" customFormat="1" ht="12" customHeight="1" thickBot="1">
      <c r="A74" s="217" t="s">
        <v>260</v>
      </c>
      <c r="B74" s="389" t="s">
        <v>518</v>
      </c>
      <c r="C74" s="189"/>
      <c r="D74" s="189"/>
      <c r="E74" s="125"/>
    </row>
    <row r="75" spans="1:5" s="54" customFormat="1" ht="12" customHeight="1" thickBot="1">
      <c r="A75" s="218" t="s">
        <v>238</v>
      </c>
      <c r="B75" s="128" t="s">
        <v>239</v>
      </c>
      <c r="C75" s="185">
        <f>SUM(C76:C77)</f>
        <v>0</v>
      </c>
      <c r="D75" s="185">
        <f>SUM(D76:D77)</f>
        <v>0</v>
      </c>
      <c r="E75" s="121">
        <f>SUM(E76:E77)</f>
        <v>0</v>
      </c>
    </row>
    <row r="76" spans="1:5" s="54" customFormat="1" ht="12" customHeight="1">
      <c r="A76" s="215" t="s">
        <v>261</v>
      </c>
      <c r="B76" s="198" t="s">
        <v>240</v>
      </c>
      <c r="C76" s="189">
        <v>0</v>
      </c>
      <c r="D76" s="189">
        <v>0</v>
      </c>
      <c r="E76" s="125">
        <v>0</v>
      </c>
    </row>
    <row r="77" spans="1:5" s="54" customFormat="1" ht="12" customHeight="1" thickBot="1">
      <c r="A77" s="217" t="s">
        <v>262</v>
      </c>
      <c r="B77" s="200" t="s">
        <v>241</v>
      </c>
      <c r="C77" s="189"/>
      <c r="D77" s="189"/>
      <c r="E77" s="125"/>
    </row>
    <row r="78" spans="1:5" s="53" customFormat="1" ht="12" customHeight="1" thickBot="1">
      <c r="A78" s="218" t="s">
        <v>242</v>
      </c>
      <c r="B78" s="128" t="s">
        <v>243</v>
      </c>
      <c r="C78" s="185">
        <f>SUM(C79:C81)</f>
        <v>0</v>
      </c>
      <c r="D78" s="185">
        <f>SUM(D79:D81)</f>
        <v>0</v>
      </c>
      <c r="E78" s="121">
        <f>SUM(E79:E81)</f>
        <v>0</v>
      </c>
    </row>
    <row r="79" spans="1:5" s="54" customFormat="1" ht="12" customHeight="1">
      <c r="A79" s="215" t="s">
        <v>263</v>
      </c>
      <c r="B79" s="198" t="s">
        <v>244</v>
      </c>
      <c r="C79" s="189"/>
      <c r="D79" s="189"/>
      <c r="E79" s="125"/>
    </row>
    <row r="80" spans="1:5" s="54" customFormat="1" ht="12" customHeight="1">
      <c r="A80" s="216" t="s">
        <v>264</v>
      </c>
      <c r="B80" s="199" t="s">
        <v>245</v>
      </c>
      <c r="C80" s="189"/>
      <c r="D80" s="189"/>
      <c r="E80" s="125"/>
    </row>
    <row r="81" spans="1:5" s="54" customFormat="1" ht="12" customHeight="1" thickBot="1">
      <c r="A81" s="217" t="s">
        <v>265</v>
      </c>
      <c r="B81" s="200" t="s">
        <v>519</v>
      </c>
      <c r="C81" s="189">
        <v>0</v>
      </c>
      <c r="D81" s="189"/>
      <c r="E81" s="125"/>
    </row>
    <row r="82" spans="1:5" s="54" customFormat="1" ht="12" customHeight="1" thickBot="1">
      <c r="A82" s="218" t="s">
        <v>246</v>
      </c>
      <c r="B82" s="128" t="s">
        <v>266</v>
      </c>
      <c r="C82" s="185">
        <f>SUM(C83:C86)</f>
        <v>0</v>
      </c>
      <c r="D82" s="185">
        <f>SUM(D83:D86)</f>
        <v>0</v>
      </c>
      <c r="E82" s="121">
        <f>SUM(E83:E86)</f>
        <v>0</v>
      </c>
    </row>
    <row r="83" spans="1:5" s="54" customFormat="1" ht="12" customHeight="1">
      <c r="A83" s="219" t="s">
        <v>247</v>
      </c>
      <c r="B83" s="198" t="s">
        <v>248</v>
      </c>
      <c r="C83" s="189"/>
      <c r="D83" s="189"/>
      <c r="E83" s="125"/>
    </row>
    <row r="84" spans="1:5" s="54" customFormat="1" ht="12" customHeight="1">
      <c r="A84" s="220" t="s">
        <v>249</v>
      </c>
      <c r="B84" s="199" t="s">
        <v>250</v>
      </c>
      <c r="C84" s="189"/>
      <c r="D84" s="189">
        <v>0</v>
      </c>
      <c r="E84" s="125">
        <v>0</v>
      </c>
    </row>
    <row r="85" spans="1:5" s="54" customFormat="1" ht="12" customHeight="1">
      <c r="A85" s="220" t="s">
        <v>251</v>
      </c>
      <c r="B85" s="199" t="s">
        <v>252</v>
      </c>
      <c r="C85" s="189"/>
      <c r="D85" s="189"/>
      <c r="E85" s="125"/>
    </row>
    <row r="86" spans="1:5" s="53" customFormat="1" ht="12" customHeight="1" thickBot="1">
      <c r="A86" s="221" t="s">
        <v>253</v>
      </c>
      <c r="B86" s="200" t="s">
        <v>254</v>
      </c>
      <c r="C86" s="189"/>
      <c r="D86" s="189"/>
      <c r="E86" s="125"/>
    </row>
    <row r="87" spans="1:5" s="53" customFormat="1" ht="12" customHeight="1" thickBot="1">
      <c r="A87" s="218" t="s">
        <v>255</v>
      </c>
      <c r="B87" s="128" t="s">
        <v>392</v>
      </c>
      <c r="C87" s="241"/>
      <c r="D87" s="241"/>
      <c r="E87" s="242"/>
    </row>
    <row r="88" spans="1:5" s="53" customFormat="1" ht="12" customHeight="1" thickBot="1">
      <c r="A88" s="218" t="s">
        <v>413</v>
      </c>
      <c r="B88" s="128" t="s">
        <v>256</v>
      </c>
      <c r="C88" s="241"/>
      <c r="D88" s="241"/>
      <c r="E88" s="242"/>
    </row>
    <row r="89" spans="1:5" s="53" customFormat="1" ht="12" customHeight="1" thickBot="1">
      <c r="A89" s="218" t="s">
        <v>414</v>
      </c>
      <c r="B89" s="205" t="s">
        <v>395</v>
      </c>
      <c r="C89" s="191">
        <f>+C66+C70+C75+C78+C82+C88+C87</f>
        <v>0</v>
      </c>
      <c r="D89" s="191">
        <f>+D66+D70+D75+D78+D82+D88+D87</f>
        <v>0</v>
      </c>
      <c r="E89" s="227">
        <f>+E66+E70+E75+E78+E82+E88+E87</f>
        <v>0</v>
      </c>
    </row>
    <row r="90" spans="1:5" s="53" customFormat="1" ht="12" customHeight="1" thickBot="1">
      <c r="A90" s="222" t="s">
        <v>415</v>
      </c>
      <c r="B90" s="206" t="s">
        <v>416</v>
      </c>
      <c r="C90" s="191">
        <f>+C65+C89</f>
        <v>7901000</v>
      </c>
      <c r="D90" s="191">
        <f>+D65+D89</f>
        <v>7951000</v>
      </c>
      <c r="E90" s="227">
        <f>+E65+E89</f>
        <v>2124800</v>
      </c>
    </row>
    <row r="91" spans="1:5" s="54" customFormat="1" ht="15.2" customHeight="1" thickBot="1">
      <c r="A91" s="97"/>
      <c r="B91" s="98"/>
      <c r="C91" s="167"/>
    </row>
    <row r="92" spans="1:5" s="47" customFormat="1" ht="16.5" customHeight="1" thickBot="1">
      <c r="A92" s="530" t="s">
        <v>44</v>
      </c>
      <c r="B92" s="531"/>
      <c r="C92" s="531"/>
      <c r="D92" s="531"/>
      <c r="E92" s="532"/>
    </row>
    <row r="93" spans="1:5" s="55" customFormat="1" ht="12" customHeight="1" thickBot="1">
      <c r="A93" s="192" t="s">
        <v>9</v>
      </c>
      <c r="B93" s="24" t="s">
        <v>420</v>
      </c>
      <c r="C93" s="184">
        <f>+C94+C95+C96+C97+C98+C111</f>
        <v>7901000</v>
      </c>
      <c r="D93" s="184">
        <f>+D94+D95+D96+D97+D98+D111</f>
        <v>7951000</v>
      </c>
      <c r="E93" s="256">
        <f>+E94+E95+E96+E97+E98+E111</f>
        <v>2124800</v>
      </c>
    </row>
    <row r="94" spans="1:5" ht="12" customHeight="1">
      <c r="A94" s="223" t="s">
        <v>67</v>
      </c>
      <c r="B94" s="8" t="s">
        <v>38</v>
      </c>
      <c r="C94" s="263">
        <v>0</v>
      </c>
      <c r="D94" s="263">
        <v>0</v>
      </c>
      <c r="E94" s="257">
        <v>0</v>
      </c>
    </row>
    <row r="95" spans="1:5" ht="12" customHeight="1">
      <c r="A95" s="216" t="s">
        <v>68</v>
      </c>
      <c r="B95" s="6" t="s">
        <v>128</v>
      </c>
      <c r="C95" s="186">
        <v>0</v>
      </c>
      <c r="D95" s="186">
        <v>0</v>
      </c>
      <c r="E95" s="122">
        <v>0</v>
      </c>
    </row>
    <row r="96" spans="1:5" ht="12" customHeight="1">
      <c r="A96" s="216" t="s">
        <v>69</v>
      </c>
      <c r="B96" s="6" t="s">
        <v>95</v>
      </c>
      <c r="C96" s="188">
        <v>0</v>
      </c>
      <c r="D96" s="186">
        <v>0</v>
      </c>
      <c r="E96" s="124">
        <v>0</v>
      </c>
    </row>
    <row r="97" spans="1:5" ht="12" customHeight="1">
      <c r="A97" s="216" t="s">
        <v>70</v>
      </c>
      <c r="B97" s="9" t="s">
        <v>129</v>
      </c>
      <c r="C97" s="188"/>
      <c r="D97" s="276">
        <v>0</v>
      </c>
      <c r="E97" s="124">
        <v>0</v>
      </c>
    </row>
    <row r="98" spans="1:5" ht="12" customHeight="1">
      <c r="A98" s="216" t="s">
        <v>79</v>
      </c>
      <c r="B98" s="17" t="s">
        <v>130</v>
      </c>
      <c r="C98" s="188">
        <v>7901000</v>
      </c>
      <c r="D98" s="276">
        <v>7951000</v>
      </c>
      <c r="E98" s="124">
        <v>2124800</v>
      </c>
    </row>
    <row r="99" spans="1:5" ht="12" customHeight="1">
      <c r="A99" s="216" t="s">
        <v>71</v>
      </c>
      <c r="B99" s="6" t="s">
        <v>417</v>
      </c>
      <c r="C99" s="188"/>
      <c r="D99" s="276"/>
      <c r="E99" s="124"/>
    </row>
    <row r="100" spans="1:5" ht="12" customHeight="1">
      <c r="A100" s="216" t="s">
        <v>72</v>
      </c>
      <c r="B100" s="65" t="s">
        <v>358</v>
      </c>
      <c r="C100" s="188"/>
      <c r="D100" s="276"/>
      <c r="E100" s="124"/>
    </row>
    <row r="101" spans="1:5" ht="12" customHeight="1">
      <c r="A101" s="216" t="s">
        <v>80</v>
      </c>
      <c r="B101" s="65" t="s">
        <v>357</v>
      </c>
      <c r="C101" s="188"/>
      <c r="D101" s="276"/>
      <c r="E101" s="124"/>
    </row>
    <row r="102" spans="1:5" ht="12" customHeight="1">
      <c r="A102" s="216" t="s">
        <v>81</v>
      </c>
      <c r="B102" s="65" t="s">
        <v>272</v>
      </c>
      <c r="C102" s="188"/>
      <c r="D102" s="276"/>
      <c r="E102" s="124"/>
    </row>
    <row r="103" spans="1:5" ht="12" customHeight="1">
      <c r="A103" s="216" t="s">
        <v>82</v>
      </c>
      <c r="B103" s="66" t="s">
        <v>273</v>
      </c>
      <c r="C103" s="188"/>
      <c r="D103" s="276"/>
      <c r="E103" s="124"/>
    </row>
    <row r="104" spans="1:5" ht="12" customHeight="1">
      <c r="A104" s="216" t="s">
        <v>83</v>
      </c>
      <c r="B104" s="66" t="s">
        <v>274</v>
      </c>
      <c r="C104" s="188"/>
      <c r="D104" s="276"/>
      <c r="E104" s="124"/>
    </row>
    <row r="105" spans="1:5" ht="12" customHeight="1">
      <c r="A105" s="216" t="s">
        <v>85</v>
      </c>
      <c r="B105" s="65" t="s">
        <v>275</v>
      </c>
      <c r="C105" s="188"/>
      <c r="D105" s="276"/>
      <c r="E105" s="124"/>
    </row>
    <row r="106" spans="1:5" ht="12" customHeight="1">
      <c r="A106" s="216" t="s">
        <v>131</v>
      </c>
      <c r="B106" s="65" t="s">
        <v>276</v>
      </c>
      <c r="C106" s="188"/>
      <c r="D106" s="276"/>
      <c r="E106" s="124"/>
    </row>
    <row r="107" spans="1:5" ht="12" customHeight="1">
      <c r="A107" s="216" t="s">
        <v>270</v>
      </c>
      <c r="B107" s="66" t="s">
        <v>277</v>
      </c>
      <c r="C107" s="186"/>
      <c r="D107" s="276"/>
      <c r="E107" s="124"/>
    </row>
    <row r="108" spans="1:5" ht="12" customHeight="1">
      <c r="A108" s="224" t="s">
        <v>271</v>
      </c>
      <c r="B108" s="67" t="s">
        <v>278</v>
      </c>
      <c r="C108" s="188"/>
      <c r="D108" s="276"/>
      <c r="E108" s="124"/>
    </row>
    <row r="109" spans="1:5" ht="12" customHeight="1">
      <c r="A109" s="216" t="s">
        <v>355</v>
      </c>
      <c r="B109" s="67" t="s">
        <v>279</v>
      </c>
      <c r="C109" s="188"/>
      <c r="D109" s="276"/>
      <c r="E109" s="124"/>
    </row>
    <row r="110" spans="1:5" ht="12" customHeight="1">
      <c r="A110" s="216" t="s">
        <v>356</v>
      </c>
      <c r="B110" s="66" t="s">
        <v>280</v>
      </c>
      <c r="C110" s="186">
        <v>7901000</v>
      </c>
      <c r="D110" s="275">
        <v>7951000</v>
      </c>
      <c r="E110" s="122">
        <v>2124800</v>
      </c>
    </row>
    <row r="111" spans="1:5" ht="12" customHeight="1">
      <c r="A111" s="216" t="s">
        <v>360</v>
      </c>
      <c r="B111" s="9" t="s">
        <v>39</v>
      </c>
      <c r="C111" s="186"/>
      <c r="D111" s="275"/>
      <c r="E111" s="122"/>
    </row>
    <row r="112" spans="1:5" ht="12" customHeight="1">
      <c r="A112" s="217" t="s">
        <v>361</v>
      </c>
      <c r="B112" s="6" t="s">
        <v>418</v>
      </c>
      <c r="C112" s="188"/>
      <c r="D112" s="276"/>
      <c r="E112" s="124"/>
    </row>
    <row r="113" spans="1:5" ht="12" customHeight="1" thickBot="1">
      <c r="A113" s="225" t="s">
        <v>362</v>
      </c>
      <c r="B113" s="68" t="s">
        <v>419</v>
      </c>
      <c r="C113" s="264"/>
      <c r="D113" s="340"/>
      <c r="E113" s="258"/>
    </row>
    <row r="114" spans="1:5" ht="12" customHeight="1" thickBot="1">
      <c r="A114" s="25" t="s">
        <v>10</v>
      </c>
      <c r="B114" s="23" t="s">
        <v>281</v>
      </c>
      <c r="C114" s="185">
        <f>+C115+C117+C119</f>
        <v>0</v>
      </c>
      <c r="D114" s="273">
        <f>+D115+D117+D119</f>
        <v>0</v>
      </c>
      <c r="E114" s="121">
        <f>+E115+E117+E119</f>
        <v>0</v>
      </c>
    </row>
    <row r="115" spans="1:5" ht="12" customHeight="1">
      <c r="A115" s="215" t="s">
        <v>73</v>
      </c>
      <c r="B115" s="6" t="s">
        <v>157</v>
      </c>
      <c r="C115" s="187"/>
      <c r="D115" s="274"/>
      <c r="E115" s="123"/>
    </row>
    <row r="116" spans="1:5" ht="12" customHeight="1">
      <c r="A116" s="215" t="s">
        <v>74</v>
      </c>
      <c r="B116" s="10" t="s">
        <v>285</v>
      </c>
      <c r="C116" s="187"/>
      <c r="D116" s="274"/>
      <c r="E116" s="123"/>
    </row>
    <row r="117" spans="1:5" ht="12" customHeight="1">
      <c r="A117" s="215" t="s">
        <v>75</v>
      </c>
      <c r="B117" s="10" t="s">
        <v>132</v>
      </c>
      <c r="C117" s="186"/>
      <c r="D117" s="275"/>
      <c r="E117" s="122"/>
    </row>
    <row r="118" spans="1:5" ht="12" customHeight="1">
      <c r="A118" s="215" t="s">
        <v>76</v>
      </c>
      <c r="B118" s="10" t="s">
        <v>286</v>
      </c>
      <c r="C118" s="186"/>
      <c r="D118" s="275"/>
      <c r="E118" s="122"/>
    </row>
    <row r="119" spans="1:5" ht="12" customHeight="1">
      <c r="A119" s="215" t="s">
        <v>77</v>
      </c>
      <c r="B119" s="130" t="s">
        <v>159</v>
      </c>
      <c r="C119" s="186"/>
      <c r="D119" s="275"/>
      <c r="E119" s="122"/>
    </row>
    <row r="120" spans="1:5" ht="12" customHeight="1">
      <c r="A120" s="215" t="s">
        <v>84</v>
      </c>
      <c r="B120" s="129" t="s">
        <v>347</v>
      </c>
      <c r="C120" s="186"/>
      <c r="D120" s="275"/>
      <c r="E120" s="122"/>
    </row>
    <row r="121" spans="1:5" ht="12" customHeight="1">
      <c r="A121" s="215" t="s">
        <v>86</v>
      </c>
      <c r="B121" s="194" t="s">
        <v>291</v>
      </c>
      <c r="C121" s="186"/>
      <c r="D121" s="275"/>
      <c r="E121" s="122"/>
    </row>
    <row r="122" spans="1:5" ht="12" customHeight="1">
      <c r="A122" s="215" t="s">
        <v>133</v>
      </c>
      <c r="B122" s="66" t="s">
        <v>274</v>
      </c>
      <c r="C122" s="186"/>
      <c r="D122" s="275"/>
      <c r="E122" s="122"/>
    </row>
    <row r="123" spans="1:5" ht="12" customHeight="1">
      <c r="A123" s="215" t="s">
        <v>134</v>
      </c>
      <c r="B123" s="66" t="s">
        <v>290</v>
      </c>
      <c r="C123" s="186"/>
      <c r="D123" s="275"/>
      <c r="E123" s="122"/>
    </row>
    <row r="124" spans="1:5" ht="12" customHeight="1">
      <c r="A124" s="215" t="s">
        <v>135</v>
      </c>
      <c r="B124" s="66" t="s">
        <v>289</v>
      </c>
      <c r="C124" s="186"/>
      <c r="D124" s="275"/>
      <c r="E124" s="122"/>
    </row>
    <row r="125" spans="1:5" ht="12" customHeight="1">
      <c r="A125" s="215" t="s">
        <v>282</v>
      </c>
      <c r="B125" s="66" t="s">
        <v>277</v>
      </c>
      <c r="C125" s="186"/>
      <c r="D125" s="275"/>
      <c r="E125" s="122"/>
    </row>
    <row r="126" spans="1:5" ht="12" customHeight="1">
      <c r="A126" s="215" t="s">
        <v>283</v>
      </c>
      <c r="B126" s="66" t="s">
        <v>288</v>
      </c>
      <c r="C126" s="186"/>
      <c r="D126" s="275"/>
      <c r="E126" s="122"/>
    </row>
    <row r="127" spans="1:5" ht="12" customHeight="1" thickBot="1">
      <c r="A127" s="224" t="s">
        <v>284</v>
      </c>
      <c r="B127" s="66" t="s">
        <v>287</v>
      </c>
      <c r="C127" s="188"/>
      <c r="D127" s="276"/>
      <c r="E127" s="124"/>
    </row>
    <row r="128" spans="1:5" ht="12" customHeight="1" thickBot="1">
      <c r="A128" s="25" t="s">
        <v>11</v>
      </c>
      <c r="B128" s="59" t="s">
        <v>365</v>
      </c>
      <c r="C128" s="185">
        <f>+C93+C114</f>
        <v>7901000</v>
      </c>
      <c r="D128" s="273">
        <f>+D93+D114</f>
        <v>7951000</v>
      </c>
      <c r="E128" s="121">
        <f>+E93+E114</f>
        <v>2124800</v>
      </c>
    </row>
    <row r="129" spans="1:11" ht="12" customHeight="1" thickBot="1">
      <c r="A129" s="25" t="s">
        <v>12</v>
      </c>
      <c r="B129" s="59" t="s">
        <v>366</v>
      </c>
      <c r="C129" s="185">
        <f>+C130+C131+C132</f>
        <v>0</v>
      </c>
      <c r="D129" s="273">
        <f>+D130+D131+D132</f>
        <v>0</v>
      </c>
      <c r="E129" s="121">
        <f>+E130+E131+E132</f>
        <v>0</v>
      </c>
    </row>
    <row r="130" spans="1:11" s="55" customFormat="1" ht="12" customHeight="1">
      <c r="A130" s="215" t="s">
        <v>190</v>
      </c>
      <c r="B130" s="7" t="s">
        <v>423</v>
      </c>
      <c r="C130" s="186"/>
      <c r="D130" s="275"/>
      <c r="E130" s="122"/>
    </row>
    <row r="131" spans="1:11" ht="12" customHeight="1">
      <c r="A131" s="215" t="s">
        <v>191</v>
      </c>
      <c r="B131" s="7" t="s">
        <v>374</v>
      </c>
      <c r="C131" s="186"/>
      <c r="D131" s="275"/>
      <c r="E131" s="122"/>
    </row>
    <row r="132" spans="1:11" ht="12" customHeight="1" thickBot="1">
      <c r="A132" s="224" t="s">
        <v>192</v>
      </c>
      <c r="B132" s="5" t="s">
        <v>422</v>
      </c>
      <c r="C132" s="186"/>
      <c r="D132" s="275"/>
      <c r="E132" s="122"/>
    </row>
    <row r="133" spans="1:11" ht="12" customHeight="1" thickBot="1">
      <c r="A133" s="25" t="s">
        <v>13</v>
      </c>
      <c r="B133" s="59" t="s">
        <v>367</v>
      </c>
      <c r="C133" s="185">
        <f>+C134+C135+C136+C137+C138+C139</f>
        <v>0</v>
      </c>
      <c r="D133" s="273">
        <f>+D134+D135+D136+D137+D138+D139</f>
        <v>0</v>
      </c>
      <c r="E133" s="121">
        <f>+E134+E135+E136+E137+E138+E139</f>
        <v>0</v>
      </c>
    </row>
    <row r="134" spans="1:11" ht="12" customHeight="1">
      <c r="A134" s="215" t="s">
        <v>60</v>
      </c>
      <c r="B134" s="7" t="s">
        <v>376</v>
      </c>
      <c r="C134" s="186"/>
      <c r="D134" s="275"/>
      <c r="E134" s="122"/>
    </row>
    <row r="135" spans="1:11" ht="12" customHeight="1">
      <c r="A135" s="215" t="s">
        <v>61</v>
      </c>
      <c r="B135" s="7" t="s">
        <v>368</v>
      </c>
      <c r="C135" s="186"/>
      <c r="D135" s="275"/>
      <c r="E135" s="122"/>
    </row>
    <row r="136" spans="1:11" ht="12" customHeight="1">
      <c r="A136" s="215" t="s">
        <v>62</v>
      </c>
      <c r="B136" s="7" t="s">
        <v>369</v>
      </c>
      <c r="C136" s="186"/>
      <c r="D136" s="275"/>
      <c r="E136" s="122"/>
    </row>
    <row r="137" spans="1:11" ht="12" customHeight="1">
      <c r="A137" s="215" t="s">
        <v>120</v>
      </c>
      <c r="B137" s="7" t="s">
        <v>421</v>
      </c>
      <c r="C137" s="186"/>
      <c r="D137" s="275"/>
      <c r="E137" s="122"/>
    </row>
    <row r="138" spans="1:11" ht="12" customHeight="1">
      <c r="A138" s="215" t="s">
        <v>121</v>
      </c>
      <c r="B138" s="7" t="s">
        <v>371</v>
      </c>
      <c r="C138" s="186"/>
      <c r="D138" s="275"/>
      <c r="E138" s="122"/>
    </row>
    <row r="139" spans="1:11" s="55" customFormat="1" ht="12" customHeight="1" thickBot="1">
      <c r="A139" s="224" t="s">
        <v>122</v>
      </c>
      <c r="B139" s="5" t="s">
        <v>372</v>
      </c>
      <c r="C139" s="186"/>
      <c r="D139" s="275"/>
      <c r="E139" s="122"/>
    </row>
    <row r="140" spans="1:11" ht="12" customHeight="1" thickBot="1">
      <c r="A140" s="25" t="s">
        <v>14</v>
      </c>
      <c r="B140" s="59" t="s">
        <v>436</v>
      </c>
      <c r="C140" s="191">
        <f>+C141+C142+C144+C145+C143</f>
        <v>0</v>
      </c>
      <c r="D140" s="277">
        <f>+D141+D142+D144+D145+D143</f>
        <v>0</v>
      </c>
      <c r="E140" s="227">
        <f>+E141+E142+E144+E145+E143</f>
        <v>0</v>
      </c>
      <c r="K140" s="106"/>
    </row>
    <row r="141" spans="1:11">
      <c r="A141" s="215" t="s">
        <v>63</v>
      </c>
      <c r="B141" s="7" t="s">
        <v>292</v>
      </c>
      <c r="C141" s="186"/>
      <c r="D141" s="275"/>
      <c r="E141" s="122"/>
    </row>
    <row r="142" spans="1:11" ht="12" customHeight="1">
      <c r="A142" s="215" t="s">
        <v>64</v>
      </c>
      <c r="B142" s="7" t="s">
        <v>293</v>
      </c>
      <c r="C142" s="186"/>
      <c r="D142" s="275"/>
      <c r="E142" s="122"/>
    </row>
    <row r="143" spans="1:11" ht="12" customHeight="1">
      <c r="A143" s="215" t="s">
        <v>209</v>
      </c>
      <c r="B143" s="7" t="s">
        <v>435</v>
      </c>
      <c r="C143" s="186"/>
      <c r="D143" s="275"/>
      <c r="E143" s="122"/>
    </row>
    <row r="144" spans="1:11" s="55" customFormat="1" ht="12" customHeight="1">
      <c r="A144" s="215" t="s">
        <v>210</v>
      </c>
      <c r="B144" s="7" t="s">
        <v>381</v>
      </c>
      <c r="C144" s="186"/>
      <c r="D144" s="275"/>
      <c r="E144" s="122"/>
    </row>
    <row r="145" spans="1:5" s="55" customFormat="1" ht="12" customHeight="1" thickBot="1">
      <c r="A145" s="224" t="s">
        <v>211</v>
      </c>
      <c r="B145" s="5" t="s">
        <v>311</v>
      </c>
      <c r="C145" s="186"/>
      <c r="D145" s="275"/>
      <c r="E145" s="122"/>
    </row>
    <row r="146" spans="1:5" s="55" customFormat="1" ht="12" customHeight="1" thickBot="1">
      <c r="A146" s="25" t="s">
        <v>15</v>
      </c>
      <c r="B146" s="59" t="s">
        <v>382</v>
      </c>
      <c r="C146" s="266">
        <f>+C147+C148+C149+C150+C151</f>
        <v>0</v>
      </c>
      <c r="D146" s="278">
        <f>+D147+D148+D149+D150+D151</f>
        <v>0</v>
      </c>
      <c r="E146" s="260">
        <f>+E147+E148+E149+E150+E151</f>
        <v>0</v>
      </c>
    </row>
    <row r="147" spans="1:5" s="55" customFormat="1" ht="12" customHeight="1">
      <c r="A147" s="215" t="s">
        <v>65</v>
      </c>
      <c r="B147" s="7" t="s">
        <v>377</v>
      </c>
      <c r="C147" s="186"/>
      <c r="D147" s="275"/>
      <c r="E147" s="122"/>
    </row>
    <row r="148" spans="1:5" s="55" customFormat="1" ht="12" customHeight="1">
      <c r="A148" s="215" t="s">
        <v>66</v>
      </c>
      <c r="B148" s="7" t="s">
        <v>384</v>
      </c>
      <c r="C148" s="186"/>
      <c r="D148" s="275"/>
      <c r="E148" s="122"/>
    </row>
    <row r="149" spans="1:5" s="55" customFormat="1" ht="12" customHeight="1">
      <c r="A149" s="215" t="s">
        <v>221</v>
      </c>
      <c r="B149" s="7" t="s">
        <v>379</v>
      </c>
      <c r="C149" s="186"/>
      <c r="D149" s="275"/>
      <c r="E149" s="122"/>
    </row>
    <row r="150" spans="1:5" s="55" customFormat="1" ht="12" customHeight="1">
      <c r="A150" s="215" t="s">
        <v>222</v>
      </c>
      <c r="B150" s="7" t="s">
        <v>424</v>
      </c>
      <c r="C150" s="186"/>
      <c r="D150" s="275"/>
      <c r="E150" s="122"/>
    </row>
    <row r="151" spans="1:5" ht="12.75" customHeight="1" thickBot="1">
      <c r="A151" s="224" t="s">
        <v>383</v>
      </c>
      <c r="B151" s="5" t="s">
        <v>386</v>
      </c>
      <c r="C151" s="188"/>
      <c r="D151" s="276"/>
      <c r="E151" s="124"/>
    </row>
    <row r="152" spans="1:5" ht="12.75" customHeight="1" thickBot="1">
      <c r="A152" s="255" t="s">
        <v>16</v>
      </c>
      <c r="B152" s="59" t="s">
        <v>387</v>
      </c>
      <c r="C152" s="266"/>
      <c r="D152" s="278"/>
      <c r="E152" s="260"/>
    </row>
    <row r="153" spans="1:5" ht="12.75" customHeight="1" thickBot="1">
      <c r="A153" s="255" t="s">
        <v>17</v>
      </c>
      <c r="B153" s="59" t="s">
        <v>388</v>
      </c>
      <c r="C153" s="266"/>
      <c r="D153" s="278"/>
      <c r="E153" s="260"/>
    </row>
    <row r="154" spans="1:5" ht="12" customHeight="1" thickBot="1">
      <c r="A154" s="25" t="s">
        <v>18</v>
      </c>
      <c r="B154" s="59" t="s">
        <v>390</v>
      </c>
      <c r="C154" s="268">
        <f>+C129+C133+C140+C146+C152+C153</f>
        <v>0</v>
      </c>
      <c r="D154" s="280">
        <f>+D129+D133+D140+D146+D152+D153</f>
        <v>0</v>
      </c>
      <c r="E154" s="262">
        <f>+E129+E133+E140+E146+E152+E153</f>
        <v>0</v>
      </c>
    </row>
    <row r="155" spans="1:5" ht="15.2" customHeight="1" thickBot="1">
      <c r="A155" s="226" t="s">
        <v>19</v>
      </c>
      <c r="B155" s="172" t="s">
        <v>389</v>
      </c>
      <c r="C155" s="268">
        <f>+C128+C154</f>
        <v>7901000</v>
      </c>
      <c r="D155" s="280">
        <f>+D128+D154</f>
        <v>7951000</v>
      </c>
      <c r="E155" s="262">
        <f>+E128+E154</f>
        <v>2124800</v>
      </c>
    </row>
    <row r="156" spans="1:5" ht="13.5" thickBot="1">
      <c r="A156" s="175"/>
      <c r="B156" s="176"/>
      <c r="C156" s="464">
        <f>C90-C155</f>
        <v>0</v>
      </c>
      <c r="D156" s="464">
        <f>D90-D155</f>
        <v>0</v>
      </c>
      <c r="E156" s="177"/>
    </row>
    <row r="157" spans="1:5" ht="15.2" customHeight="1" thickBot="1">
      <c r="A157" s="350" t="s">
        <v>512</v>
      </c>
      <c r="B157" s="351"/>
      <c r="C157" s="339"/>
      <c r="D157" s="339"/>
      <c r="E157" s="338"/>
    </row>
    <row r="158" spans="1:5" ht="14.45" customHeight="1" thickBot="1">
      <c r="A158" s="352" t="s">
        <v>513</v>
      </c>
      <c r="B158" s="353"/>
      <c r="C158" s="339"/>
      <c r="D158" s="339"/>
      <c r="E158" s="338"/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</sheetPr>
  <dimension ref="A1:K158"/>
  <sheetViews>
    <sheetView zoomScale="120" zoomScaleNormal="120" zoomScaleSheetLayoutView="100" workbookViewId="0">
      <selection activeCell="B2" sqref="B2:D2"/>
    </sheetView>
  </sheetViews>
  <sheetFormatPr defaultRowHeight="12.75"/>
  <cols>
    <col min="1" max="1" width="16.1640625" style="178" customWidth="1"/>
    <col min="2" max="2" width="62" style="179" customWidth="1"/>
    <col min="3" max="3" width="14.1640625" style="180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408"/>
      <c r="B1" s="534" t="str">
        <f>CONCATENATE("9.1.3. melléklet ",IB_ALAPADATOK!A7," ",IB_ALAPADATOK!B7," ",IB_ALAPADATOK!C7," ",IB_ALAPADATOK!D7)</f>
        <v xml:space="preserve">9.1.3. melléklet a 7/2019.(X.09.)  önkormányzati rendelethez </v>
      </c>
      <c r="C1" s="535"/>
      <c r="D1" s="535"/>
      <c r="E1" s="535"/>
    </row>
    <row r="2" spans="1:5" s="51" customFormat="1" ht="21.2" customHeight="1" thickBot="1">
      <c r="A2" s="417" t="s">
        <v>48</v>
      </c>
      <c r="B2" s="533" t="str">
        <f>CONCATENATE(IB_ALAPADATOK!A3)</f>
        <v>BORSODNÁDASD VÁROS ÖNKORMÁNYZATA</v>
      </c>
      <c r="C2" s="533"/>
      <c r="D2" s="533"/>
      <c r="E2" s="418" t="s">
        <v>42</v>
      </c>
    </row>
    <row r="3" spans="1:5" s="51" customFormat="1" ht="24.75" thickBot="1">
      <c r="A3" s="417" t="s">
        <v>141</v>
      </c>
      <c r="B3" s="533" t="s">
        <v>434</v>
      </c>
      <c r="C3" s="533"/>
      <c r="D3" s="533"/>
      <c r="E3" s="419" t="s">
        <v>46</v>
      </c>
    </row>
    <row r="4" spans="1:5" s="52" customFormat="1" ht="15.95" customHeight="1" thickBot="1">
      <c r="A4" s="411"/>
      <c r="B4" s="411"/>
      <c r="C4" s="412"/>
      <c r="D4" s="413"/>
      <c r="E4" s="412" t="str">
        <f>'9.1.2.sz.mell'!E4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47" customFormat="1" ht="12.95" customHeight="1" thickBot="1">
      <c r="A6" s="84" t="s">
        <v>404</v>
      </c>
      <c r="B6" s="85" t="s">
        <v>405</v>
      </c>
      <c r="C6" s="85" t="s">
        <v>406</v>
      </c>
      <c r="D6" s="333" t="s">
        <v>408</v>
      </c>
      <c r="E6" s="86" t="s">
        <v>407</v>
      </c>
    </row>
    <row r="7" spans="1:5" s="47" customFormat="1" ht="15.95" customHeight="1" thickBot="1">
      <c r="A7" s="530" t="s">
        <v>43</v>
      </c>
      <c r="B7" s="531"/>
      <c r="C7" s="531"/>
      <c r="D7" s="531"/>
      <c r="E7" s="532"/>
    </row>
    <row r="8" spans="1:5" s="47" customFormat="1" ht="12" customHeight="1" thickBot="1">
      <c r="A8" s="25" t="s">
        <v>9</v>
      </c>
      <c r="B8" s="19" t="s">
        <v>175</v>
      </c>
      <c r="C8" s="185">
        <f>+C9+C10+C11+C12+C13+C14</f>
        <v>0</v>
      </c>
      <c r="D8" s="273">
        <f>+D9+D10+D11+D12+D13+D14</f>
        <v>0</v>
      </c>
      <c r="E8" s="121">
        <f>+E9+E10+E11+E12+E13+E14</f>
        <v>0</v>
      </c>
    </row>
    <row r="9" spans="1:5" s="53" customFormat="1" ht="12" customHeight="1">
      <c r="A9" s="215" t="s">
        <v>67</v>
      </c>
      <c r="B9" s="198" t="s">
        <v>176</v>
      </c>
      <c r="C9" s="187"/>
      <c r="D9" s="274"/>
      <c r="E9" s="123"/>
    </row>
    <row r="10" spans="1:5" s="54" customFormat="1" ht="12" customHeight="1">
      <c r="A10" s="216" t="s">
        <v>68</v>
      </c>
      <c r="B10" s="199" t="s">
        <v>177</v>
      </c>
      <c r="C10" s="186"/>
      <c r="D10" s="275"/>
      <c r="E10" s="122"/>
    </row>
    <row r="11" spans="1:5" s="54" customFormat="1" ht="12" customHeight="1">
      <c r="A11" s="216" t="s">
        <v>69</v>
      </c>
      <c r="B11" s="199" t="s">
        <v>178</v>
      </c>
      <c r="C11" s="186"/>
      <c r="D11" s="275"/>
      <c r="E11" s="122"/>
    </row>
    <row r="12" spans="1:5" s="54" customFormat="1" ht="12" customHeight="1">
      <c r="A12" s="216" t="s">
        <v>70</v>
      </c>
      <c r="B12" s="199" t="s">
        <v>179</v>
      </c>
      <c r="C12" s="186"/>
      <c r="D12" s="275"/>
      <c r="E12" s="122"/>
    </row>
    <row r="13" spans="1:5" s="54" customFormat="1" ht="12" customHeight="1">
      <c r="A13" s="216" t="s">
        <v>102</v>
      </c>
      <c r="B13" s="199" t="s">
        <v>412</v>
      </c>
      <c r="C13" s="186"/>
      <c r="D13" s="275"/>
      <c r="E13" s="122"/>
    </row>
    <row r="14" spans="1:5" s="53" customFormat="1" ht="12" customHeight="1" thickBot="1">
      <c r="A14" s="217" t="s">
        <v>71</v>
      </c>
      <c r="B14" s="200" t="s">
        <v>350</v>
      </c>
      <c r="C14" s="186"/>
      <c r="D14" s="275"/>
      <c r="E14" s="122"/>
    </row>
    <row r="15" spans="1:5" s="53" customFormat="1" ht="12" customHeight="1" thickBot="1">
      <c r="A15" s="25" t="s">
        <v>10</v>
      </c>
      <c r="B15" s="128" t="s">
        <v>180</v>
      </c>
      <c r="C15" s="185">
        <f>+C16+C17+C18+C19+C20</f>
        <v>0</v>
      </c>
      <c r="D15" s="273">
        <f>+D16+D17+D18+D19+D20</f>
        <v>0</v>
      </c>
      <c r="E15" s="121">
        <f>+E16+E17+E18+E19+E20</f>
        <v>0</v>
      </c>
    </row>
    <row r="16" spans="1:5" s="53" customFormat="1" ht="12" customHeight="1">
      <c r="A16" s="215" t="s">
        <v>73</v>
      </c>
      <c r="B16" s="198" t="s">
        <v>181</v>
      </c>
      <c r="C16" s="187"/>
      <c r="D16" s="274"/>
      <c r="E16" s="123"/>
    </row>
    <row r="17" spans="1:5" s="53" customFormat="1" ht="12" customHeight="1">
      <c r="A17" s="216" t="s">
        <v>74</v>
      </c>
      <c r="B17" s="199" t="s">
        <v>182</v>
      </c>
      <c r="C17" s="186"/>
      <c r="D17" s="275"/>
      <c r="E17" s="122"/>
    </row>
    <row r="18" spans="1:5" s="53" customFormat="1" ht="12" customHeight="1">
      <c r="A18" s="216" t="s">
        <v>75</v>
      </c>
      <c r="B18" s="199" t="s">
        <v>341</v>
      </c>
      <c r="C18" s="186"/>
      <c r="D18" s="275"/>
      <c r="E18" s="122"/>
    </row>
    <row r="19" spans="1:5" s="53" customFormat="1" ht="12" customHeight="1">
      <c r="A19" s="216" t="s">
        <v>76</v>
      </c>
      <c r="B19" s="199" t="s">
        <v>342</v>
      </c>
      <c r="C19" s="186"/>
      <c r="D19" s="275"/>
      <c r="E19" s="122"/>
    </row>
    <row r="20" spans="1:5" s="53" customFormat="1" ht="12" customHeight="1">
      <c r="A20" s="216" t="s">
        <v>77</v>
      </c>
      <c r="B20" s="199" t="s">
        <v>183</v>
      </c>
      <c r="C20" s="186"/>
      <c r="D20" s="275"/>
      <c r="E20" s="122"/>
    </row>
    <row r="21" spans="1:5" s="54" customFormat="1" ht="12" customHeight="1" thickBot="1">
      <c r="A21" s="217" t="s">
        <v>84</v>
      </c>
      <c r="B21" s="200" t="s">
        <v>184</v>
      </c>
      <c r="C21" s="188"/>
      <c r="D21" s="276"/>
      <c r="E21" s="124"/>
    </row>
    <row r="22" spans="1:5" s="54" customFormat="1" ht="12" customHeight="1" thickBot="1">
      <c r="A22" s="25" t="s">
        <v>11</v>
      </c>
      <c r="B22" s="19" t="s">
        <v>185</v>
      </c>
      <c r="C22" s="185">
        <f>+C23+C24+C25+C26+C27</f>
        <v>0</v>
      </c>
      <c r="D22" s="273">
        <f>+D23+D24+D25+D26+D27</f>
        <v>0</v>
      </c>
      <c r="E22" s="121">
        <f>+E23+E24+E25+E26+E27</f>
        <v>0</v>
      </c>
    </row>
    <row r="23" spans="1:5" s="54" customFormat="1" ht="12" customHeight="1">
      <c r="A23" s="215" t="s">
        <v>56</v>
      </c>
      <c r="B23" s="198" t="s">
        <v>186</v>
      </c>
      <c r="C23" s="187"/>
      <c r="D23" s="274"/>
      <c r="E23" s="123"/>
    </row>
    <row r="24" spans="1:5" s="53" customFormat="1" ht="12" customHeight="1">
      <c r="A24" s="216" t="s">
        <v>57</v>
      </c>
      <c r="B24" s="199" t="s">
        <v>187</v>
      </c>
      <c r="C24" s="186"/>
      <c r="D24" s="275"/>
      <c r="E24" s="122"/>
    </row>
    <row r="25" spans="1:5" s="54" customFormat="1" ht="12" customHeight="1">
      <c r="A25" s="216" t="s">
        <v>58</v>
      </c>
      <c r="B25" s="199" t="s">
        <v>343</v>
      </c>
      <c r="C25" s="186"/>
      <c r="D25" s="275"/>
      <c r="E25" s="122"/>
    </row>
    <row r="26" spans="1:5" s="54" customFormat="1" ht="12" customHeight="1">
      <c r="A26" s="216" t="s">
        <v>59</v>
      </c>
      <c r="B26" s="199" t="s">
        <v>344</v>
      </c>
      <c r="C26" s="186"/>
      <c r="D26" s="275"/>
      <c r="E26" s="122"/>
    </row>
    <row r="27" spans="1:5" s="54" customFormat="1" ht="12" customHeight="1">
      <c r="A27" s="216" t="s">
        <v>116</v>
      </c>
      <c r="B27" s="199" t="s">
        <v>188</v>
      </c>
      <c r="C27" s="186"/>
      <c r="D27" s="275"/>
      <c r="E27" s="122"/>
    </row>
    <row r="28" spans="1:5" s="54" customFormat="1" ht="12" customHeight="1" thickBot="1">
      <c r="A28" s="217" t="s">
        <v>117</v>
      </c>
      <c r="B28" s="200" t="s">
        <v>189</v>
      </c>
      <c r="C28" s="188"/>
      <c r="D28" s="276"/>
      <c r="E28" s="124"/>
    </row>
    <row r="29" spans="1:5" s="54" customFormat="1" ht="12" customHeight="1" thickBot="1">
      <c r="A29" s="25" t="s">
        <v>118</v>
      </c>
      <c r="B29" s="19" t="s">
        <v>502</v>
      </c>
      <c r="C29" s="191">
        <f>SUM(C30:C36)</f>
        <v>16102500</v>
      </c>
      <c r="D29" s="191">
        <f>SUM(D30:D36)</f>
        <v>16102500</v>
      </c>
      <c r="E29" s="227">
        <f>SUM(E30:E36)</f>
        <v>8012839</v>
      </c>
    </row>
    <row r="30" spans="1:5" s="54" customFormat="1" ht="12" customHeight="1">
      <c r="A30" s="215" t="s">
        <v>190</v>
      </c>
      <c r="B30" s="198" t="s">
        <v>503</v>
      </c>
      <c r="C30" s="187"/>
      <c r="D30" s="187"/>
      <c r="E30" s="123"/>
    </row>
    <row r="31" spans="1:5" s="54" customFormat="1" ht="12" customHeight="1">
      <c r="A31" s="216" t="s">
        <v>191</v>
      </c>
      <c r="B31" s="199" t="s">
        <v>504</v>
      </c>
      <c r="C31" s="186"/>
      <c r="D31" s="186"/>
      <c r="E31" s="122"/>
    </row>
    <row r="32" spans="1:5" s="54" customFormat="1" ht="12" customHeight="1">
      <c r="A32" s="216" t="s">
        <v>192</v>
      </c>
      <c r="B32" s="199" t="s">
        <v>505</v>
      </c>
      <c r="C32" s="186">
        <v>11349000</v>
      </c>
      <c r="D32" s="186">
        <v>11349000</v>
      </c>
      <c r="E32" s="122">
        <v>6733478</v>
      </c>
    </row>
    <row r="33" spans="1:5" s="54" customFormat="1" ht="12" customHeight="1">
      <c r="A33" s="216" t="s">
        <v>193</v>
      </c>
      <c r="B33" s="199" t="s">
        <v>506</v>
      </c>
      <c r="C33" s="186"/>
      <c r="D33" s="186"/>
      <c r="E33" s="122"/>
    </row>
    <row r="34" spans="1:5" s="54" customFormat="1" ht="12" customHeight="1">
      <c r="A34" s="216" t="s">
        <v>507</v>
      </c>
      <c r="B34" s="199" t="s">
        <v>194</v>
      </c>
      <c r="C34" s="186">
        <v>4753500</v>
      </c>
      <c r="D34" s="186">
        <v>4753500</v>
      </c>
      <c r="E34" s="122">
        <v>1279361</v>
      </c>
    </row>
    <row r="35" spans="1:5" s="54" customFormat="1" ht="12" customHeight="1">
      <c r="A35" s="216" t="s">
        <v>508</v>
      </c>
      <c r="B35" s="199" t="s">
        <v>596</v>
      </c>
      <c r="C35" s="186"/>
      <c r="D35" s="186"/>
      <c r="E35" s="122"/>
    </row>
    <row r="36" spans="1:5" s="54" customFormat="1" ht="12" customHeight="1" thickBot="1">
      <c r="A36" s="217" t="s">
        <v>509</v>
      </c>
      <c r="B36" s="349" t="s">
        <v>195</v>
      </c>
      <c r="C36" s="188"/>
      <c r="D36" s="188"/>
      <c r="E36" s="124"/>
    </row>
    <row r="37" spans="1:5" s="54" customFormat="1" ht="12" customHeight="1" thickBot="1">
      <c r="A37" s="25" t="s">
        <v>13</v>
      </c>
      <c r="B37" s="19" t="s">
        <v>351</v>
      </c>
      <c r="C37" s="185">
        <f>SUM(C38:C48)</f>
        <v>0</v>
      </c>
      <c r="D37" s="273">
        <f>SUM(D38:D48)</f>
        <v>0</v>
      </c>
      <c r="E37" s="121">
        <f>SUM(E38:E48)</f>
        <v>0</v>
      </c>
    </row>
    <row r="38" spans="1:5" s="54" customFormat="1" ht="12" customHeight="1">
      <c r="A38" s="215" t="s">
        <v>60</v>
      </c>
      <c r="B38" s="198" t="s">
        <v>198</v>
      </c>
      <c r="C38" s="187"/>
      <c r="D38" s="274"/>
      <c r="E38" s="123"/>
    </row>
    <row r="39" spans="1:5" s="54" customFormat="1" ht="12" customHeight="1">
      <c r="A39" s="216" t="s">
        <v>61</v>
      </c>
      <c r="B39" s="199" t="s">
        <v>199</v>
      </c>
      <c r="C39" s="186"/>
      <c r="D39" s="275"/>
      <c r="E39" s="122"/>
    </row>
    <row r="40" spans="1:5" s="54" customFormat="1" ht="12" customHeight="1">
      <c r="A40" s="216" t="s">
        <v>62</v>
      </c>
      <c r="B40" s="199" t="s">
        <v>200</v>
      </c>
      <c r="C40" s="186"/>
      <c r="D40" s="275"/>
      <c r="E40" s="122"/>
    </row>
    <row r="41" spans="1:5" s="54" customFormat="1" ht="12" customHeight="1">
      <c r="A41" s="216" t="s">
        <v>120</v>
      </c>
      <c r="B41" s="199" t="s">
        <v>201</v>
      </c>
      <c r="C41" s="186"/>
      <c r="D41" s="275"/>
      <c r="E41" s="122"/>
    </row>
    <row r="42" spans="1:5" s="54" customFormat="1" ht="12" customHeight="1">
      <c r="A42" s="216" t="s">
        <v>121</v>
      </c>
      <c r="B42" s="199" t="s">
        <v>202</v>
      </c>
      <c r="C42" s="186"/>
      <c r="D42" s="275"/>
      <c r="E42" s="122"/>
    </row>
    <row r="43" spans="1:5" s="54" customFormat="1" ht="12" customHeight="1">
      <c r="A43" s="216" t="s">
        <v>122</v>
      </c>
      <c r="B43" s="199" t="s">
        <v>203</v>
      </c>
      <c r="C43" s="186"/>
      <c r="D43" s="275"/>
      <c r="E43" s="122"/>
    </row>
    <row r="44" spans="1:5" s="54" customFormat="1" ht="12" customHeight="1">
      <c r="A44" s="216" t="s">
        <v>123</v>
      </c>
      <c r="B44" s="199" t="s">
        <v>204</v>
      </c>
      <c r="C44" s="186"/>
      <c r="D44" s="275"/>
      <c r="E44" s="122"/>
    </row>
    <row r="45" spans="1:5" s="54" customFormat="1" ht="12" customHeight="1">
      <c r="A45" s="216" t="s">
        <v>124</v>
      </c>
      <c r="B45" s="199" t="s">
        <v>510</v>
      </c>
      <c r="C45" s="186"/>
      <c r="D45" s="275"/>
      <c r="E45" s="122"/>
    </row>
    <row r="46" spans="1:5" s="54" customFormat="1" ht="12" customHeight="1">
      <c r="A46" s="216" t="s">
        <v>196</v>
      </c>
      <c r="B46" s="199" t="s">
        <v>206</v>
      </c>
      <c r="C46" s="189"/>
      <c r="D46" s="334"/>
      <c r="E46" s="125"/>
    </row>
    <row r="47" spans="1:5" s="54" customFormat="1" ht="12" customHeight="1">
      <c r="A47" s="217" t="s">
        <v>197</v>
      </c>
      <c r="B47" s="200" t="s">
        <v>353</v>
      </c>
      <c r="C47" s="190"/>
      <c r="D47" s="335"/>
      <c r="E47" s="126"/>
    </row>
    <row r="48" spans="1:5" s="54" customFormat="1" ht="12" customHeight="1" thickBot="1">
      <c r="A48" s="217" t="s">
        <v>352</v>
      </c>
      <c r="B48" s="200" t="s">
        <v>207</v>
      </c>
      <c r="C48" s="190"/>
      <c r="D48" s="335"/>
      <c r="E48" s="126"/>
    </row>
    <row r="49" spans="1:5" s="54" customFormat="1" ht="12" customHeight="1" thickBot="1">
      <c r="A49" s="25" t="s">
        <v>14</v>
      </c>
      <c r="B49" s="19" t="s">
        <v>208</v>
      </c>
      <c r="C49" s="185">
        <f>SUM(C50:C54)</f>
        <v>0</v>
      </c>
      <c r="D49" s="273">
        <f>SUM(D50:D54)</f>
        <v>0</v>
      </c>
      <c r="E49" s="121">
        <f>SUM(E50:E54)</f>
        <v>0</v>
      </c>
    </row>
    <row r="50" spans="1:5" s="54" customFormat="1" ht="12" customHeight="1">
      <c r="A50" s="215" t="s">
        <v>63</v>
      </c>
      <c r="B50" s="198" t="s">
        <v>212</v>
      </c>
      <c r="C50" s="238"/>
      <c r="D50" s="336"/>
      <c r="E50" s="127"/>
    </row>
    <row r="51" spans="1:5" s="54" customFormat="1" ht="12" customHeight="1">
      <c r="A51" s="216" t="s">
        <v>64</v>
      </c>
      <c r="B51" s="199" t="s">
        <v>213</v>
      </c>
      <c r="C51" s="189"/>
      <c r="D51" s="334"/>
      <c r="E51" s="125"/>
    </row>
    <row r="52" spans="1:5" s="54" customFormat="1" ht="12" customHeight="1">
      <c r="A52" s="216" t="s">
        <v>209</v>
      </c>
      <c r="B52" s="199" t="s">
        <v>214</v>
      </c>
      <c r="C52" s="189"/>
      <c r="D52" s="334"/>
      <c r="E52" s="125"/>
    </row>
    <row r="53" spans="1:5" s="54" customFormat="1" ht="12" customHeight="1">
      <c r="A53" s="216" t="s">
        <v>210</v>
      </c>
      <c r="B53" s="199" t="s">
        <v>215</v>
      </c>
      <c r="C53" s="189"/>
      <c r="D53" s="334"/>
      <c r="E53" s="125"/>
    </row>
    <row r="54" spans="1:5" s="54" customFormat="1" ht="12" customHeight="1" thickBot="1">
      <c r="A54" s="217" t="s">
        <v>211</v>
      </c>
      <c r="B54" s="200" t="s">
        <v>216</v>
      </c>
      <c r="C54" s="190"/>
      <c r="D54" s="335"/>
      <c r="E54" s="126"/>
    </row>
    <row r="55" spans="1:5" s="54" customFormat="1" ht="12" customHeight="1" thickBot="1">
      <c r="A55" s="25" t="s">
        <v>125</v>
      </c>
      <c r="B55" s="19" t="s">
        <v>217</v>
      </c>
      <c r="C55" s="185">
        <f>SUM(C56:C58)</f>
        <v>0</v>
      </c>
      <c r="D55" s="273">
        <f>SUM(D56:D58)</f>
        <v>0</v>
      </c>
      <c r="E55" s="121">
        <f>SUM(E56:E58)</f>
        <v>0</v>
      </c>
    </row>
    <row r="56" spans="1:5" s="54" customFormat="1" ht="12" customHeight="1">
      <c r="A56" s="215" t="s">
        <v>65</v>
      </c>
      <c r="B56" s="198" t="s">
        <v>218</v>
      </c>
      <c r="C56" s="187"/>
      <c r="D56" s="274"/>
      <c r="E56" s="123"/>
    </row>
    <row r="57" spans="1:5" s="54" customFormat="1" ht="12" customHeight="1">
      <c r="A57" s="216" t="s">
        <v>66</v>
      </c>
      <c r="B57" s="199" t="s">
        <v>345</v>
      </c>
      <c r="C57" s="186"/>
      <c r="D57" s="275"/>
      <c r="E57" s="122"/>
    </row>
    <row r="58" spans="1:5" s="54" customFormat="1" ht="12" customHeight="1">
      <c r="A58" s="216" t="s">
        <v>221</v>
      </c>
      <c r="B58" s="199" t="s">
        <v>219</v>
      </c>
      <c r="C58" s="186"/>
      <c r="D58" s="275"/>
      <c r="E58" s="122"/>
    </row>
    <row r="59" spans="1:5" s="54" customFormat="1" ht="12" customHeight="1" thickBot="1">
      <c r="A59" s="217" t="s">
        <v>222</v>
      </c>
      <c r="B59" s="200" t="s">
        <v>220</v>
      </c>
      <c r="C59" s="188"/>
      <c r="D59" s="276"/>
      <c r="E59" s="124"/>
    </row>
    <row r="60" spans="1:5" s="54" customFormat="1" ht="12" customHeight="1" thickBot="1">
      <c r="A60" s="25" t="s">
        <v>16</v>
      </c>
      <c r="B60" s="128" t="s">
        <v>223</v>
      </c>
      <c r="C60" s="185">
        <f>SUM(C61:C63)</f>
        <v>0</v>
      </c>
      <c r="D60" s="273">
        <f>SUM(D61:D63)</f>
        <v>0</v>
      </c>
      <c r="E60" s="121">
        <f>SUM(E61:E63)</f>
        <v>0</v>
      </c>
    </row>
    <row r="61" spans="1:5" s="54" customFormat="1" ht="12" customHeight="1">
      <c r="A61" s="215" t="s">
        <v>126</v>
      </c>
      <c r="B61" s="198" t="s">
        <v>225</v>
      </c>
      <c r="C61" s="189"/>
      <c r="D61" s="334"/>
      <c r="E61" s="125"/>
    </row>
    <row r="62" spans="1:5" s="54" customFormat="1" ht="12" customHeight="1">
      <c r="A62" s="216" t="s">
        <v>127</v>
      </c>
      <c r="B62" s="199" t="s">
        <v>346</v>
      </c>
      <c r="C62" s="189"/>
      <c r="D62" s="334"/>
      <c r="E62" s="125"/>
    </row>
    <row r="63" spans="1:5" s="54" customFormat="1" ht="12" customHeight="1">
      <c r="A63" s="216" t="s">
        <v>158</v>
      </c>
      <c r="B63" s="199" t="s">
        <v>226</v>
      </c>
      <c r="C63" s="189"/>
      <c r="D63" s="334"/>
      <c r="E63" s="125"/>
    </row>
    <row r="64" spans="1:5" s="54" customFormat="1" ht="12" customHeight="1" thickBot="1">
      <c r="A64" s="217" t="s">
        <v>224</v>
      </c>
      <c r="B64" s="200" t="s">
        <v>227</v>
      </c>
      <c r="C64" s="189"/>
      <c r="D64" s="334"/>
      <c r="E64" s="125"/>
    </row>
    <row r="65" spans="1:5" s="54" customFormat="1" ht="12" customHeight="1" thickBot="1">
      <c r="A65" s="25" t="s">
        <v>17</v>
      </c>
      <c r="B65" s="19" t="s">
        <v>228</v>
      </c>
      <c r="C65" s="191">
        <f>+C8+C15+C22+C29+C37+C49+C55+C60</f>
        <v>16102500</v>
      </c>
      <c r="D65" s="277">
        <f>+D8+D15+D22+D29+D37+D49+D55+D60</f>
        <v>16102500</v>
      </c>
      <c r="E65" s="227">
        <f>+E8+E15+E22+E29+E37+E49+E55+E60</f>
        <v>8012839</v>
      </c>
    </row>
    <row r="66" spans="1:5" s="54" customFormat="1" ht="12" customHeight="1" thickBot="1">
      <c r="A66" s="218" t="s">
        <v>315</v>
      </c>
      <c r="B66" s="128" t="s">
        <v>230</v>
      </c>
      <c r="C66" s="185">
        <f>SUM(C67:C69)</f>
        <v>0</v>
      </c>
      <c r="D66" s="273">
        <f>SUM(D67:D69)</f>
        <v>0</v>
      </c>
      <c r="E66" s="121">
        <f>SUM(E67:E69)</f>
        <v>0</v>
      </c>
    </row>
    <row r="67" spans="1:5" s="54" customFormat="1" ht="12" customHeight="1">
      <c r="A67" s="215" t="s">
        <v>258</v>
      </c>
      <c r="B67" s="198" t="s">
        <v>231</v>
      </c>
      <c r="C67" s="189"/>
      <c r="D67" s="334"/>
      <c r="E67" s="125"/>
    </row>
    <row r="68" spans="1:5" s="54" customFormat="1" ht="12" customHeight="1">
      <c r="A68" s="216" t="s">
        <v>267</v>
      </c>
      <c r="B68" s="199" t="s">
        <v>232</v>
      </c>
      <c r="C68" s="189"/>
      <c r="D68" s="334"/>
      <c r="E68" s="125"/>
    </row>
    <row r="69" spans="1:5" s="54" customFormat="1" ht="12" customHeight="1" thickBot="1">
      <c r="A69" s="217" t="s">
        <v>268</v>
      </c>
      <c r="B69" s="201" t="s">
        <v>233</v>
      </c>
      <c r="C69" s="189"/>
      <c r="D69" s="337"/>
      <c r="E69" s="125"/>
    </row>
    <row r="70" spans="1:5" s="54" customFormat="1" ht="12" customHeight="1" thickBot="1">
      <c r="A70" s="218" t="s">
        <v>234</v>
      </c>
      <c r="B70" s="128" t="s">
        <v>235</v>
      </c>
      <c r="C70" s="185">
        <f>SUM(C71:C74)</f>
        <v>0</v>
      </c>
      <c r="D70" s="185">
        <f>SUM(D71:D74)</f>
        <v>0</v>
      </c>
      <c r="E70" s="121">
        <f>SUM(E71:E74)</f>
        <v>0</v>
      </c>
    </row>
    <row r="71" spans="1:5" s="54" customFormat="1" ht="12" customHeight="1">
      <c r="A71" s="215" t="s">
        <v>103</v>
      </c>
      <c r="B71" s="388" t="s">
        <v>236</v>
      </c>
      <c r="C71" s="189"/>
      <c r="D71" s="189"/>
      <c r="E71" s="125"/>
    </row>
    <row r="72" spans="1:5" s="54" customFormat="1" ht="12" customHeight="1">
      <c r="A72" s="216" t="s">
        <v>104</v>
      </c>
      <c r="B72" s="388" t="s">
        <v>517</v>
      </c>
      <c r="C72" s="189"/>
      <c r="D72" s="189"/>
      <c r="E72" s="125"/>
    </row>
    <row r="73" spans="1:5" s="54" customFormat="1" ht="12" customHeight="1">
      <c r="A73" s="216" t="s">
        <v>259</v>
      </c>
      <c r="B73" s="388" t="s">
        <v>237</v>
      </c>
      <c r="C73" s="189"/>
      <c r="D73" s="189"/>
      <c r="E73" s="125"/>
    </row>
    <row r="74" spans="1:5" s="54" customFormat="1" ht="12" customHeight="1" thickBot="1">
      <c r="A74" s="217" t="s">
        <v>260</v>
      </c>
      <c r="B74" s="389" t="s">
        <v>518</v>
      </c>
      <c r="C74" s="189"/>
      <c r="D74" s="189"/>
      <c r="E74" s="125"/>
    </row>
    <row r="75" spans="1:5" s="54" customFormat="1" ht="12" customHeight="1" thickBot="1">
      <c r="A75" s="218" t="s">
        <v>238</v>
      </c>
      <c r="B75" s="128" t="s">
        <v>239</v>
      </c>
      <c r="C75" s="185">
        <f>SUM(C76:C77)</f>
        <v>0</v>
      </c>
      <c r="D75" s="185">
        <f>SUM(D76:D77)</f>
        <v>0</v>
      </c>
      <c r="E75" s="121">
        <f>SUM(E76:E77)</f>
        <v>0</v>
      </c>
    </row>
    <row r="76" spans="1:5" s="54" customFormat="1" ht="12" customHeight="1">
      <c r="A76" s="215" t="s">
        <v>261</v>
      </c>
      <c r="B76" s="198" t="s">
        <v>240</v>
      </c>
      <c r="C76" s="189"/>
      <c r="D76" s="189"/>
      <c r="E76" s="125"/>
    </row>
    <row r="77" spans="1:5" s="54" customFormat="1" ht="12" customHeight="1" thickBot="1">
      <c r="A77" s="217" t="s">
        <v>262</v>
      </c>
      <c r="B77" s="200" t="s">
        <v>241</v>
      </c>
      <c r="C77" s="189"/>
      <c r="D77" s="189"/>
      <c r="E77" s="125"/>
    </row>
    <row r="78" spans="1:5" s="53" customFormat="1" ht="12" customHeight="1" thickBot="1">
      <c r="A78" s="218" t="s">
        <v>242</v>
      </c>
      <c r="B78" s="128" t="s">
        <v>243</v>
      </c>
      <c r="C78" s="185">
        <f>SUM(C79:C81)</f>
        <v>0</v>
      </c>
      <c r="D78" s="185">
        <f>SUM(D79:D81)</f>
        <v>0</v>
      </c>
      <c r="E78" s="121">
        <f>SUM(E79:E81)</f>
        <v>0</v>
      </c>
    </row>
    <row r="79" spans="1:5" s="54" customFormat="1" ht="12" customHeight="1">
      <c r="A79" s="215" t="s">
        <v>263</v>
      </c>
      <c r="B79" s="198" t="s">
        <v>244</v>
      </c>
      <c r="C79" s="189"/>
      <c r="D79" s="189"/>
      <c r="E79" s="125"/>
    </row>
    <row r="80" spans="1:5" s="54" customFormat="1" ht="12" customHeight="1">
      <c r="A80" s="216" t="s">
        <v>264</v>
      </c>
      <c r="B80" s="199" t="s">
        <v>245</v>
      </c>
      <c r="C80" s="189"/>
      <c r="D80" s="189"/>
      <c r="E80" s="125"/>
    </row>
    <row r="81" spans="1:5" s="54" customFormat="1" ht="12" customHeight="1" thickBot="1">
      <c r="A81" s="217" t="s">
        <v>265</v>
      </c>
      <c r="B81" s="200" t="s">
        <v>519</v>
      </c>
      <c r="C81" s="189"/>
      <c r="D81" s="189"/>
      <c r="E81" s="125"/>
    </row>
    <row r="82" spans="1:5" s="54" customFormat="1" ht="12" customHeight="1" thickBot="1">
      <c r="A82" s="218" t="s">
        <v>246</v>
      </c>
      <c r="B82" s="128" t="s">
        <v>266</v>
      </c>
      <c r="C82" s="185">
        <f>SUM(C83:C86)</f>
        <v>0</v>
      </c>
      <c r="D82" s="185">
        <f>SUM(D83:D86)</f>
        <v>0</v>
      </c>
      <c r="E82" s="121">
        <f>SUM(E83:E86)</f>
        <v>0</v>
      </c>
    </row>
    <row r="83" spans="1:5" s="54" customFormat="1" ht="12" customHeight="1">
      <c r="A83" s="219" t="s">
        <v>247</v>
      </c>
      <c r="B83" s="198" t="s">
        <v>248</v>
      </c>
      <c r="C83" s="189"/>
      <c r="D83" s="189"/>
      <c r="E83" s="125"/>
    </row>
    <row r="84" spans="1:5" s="54" customFormat="1" ht="12" customHeight="1">
      <c r="A84" s="220" t="s">
        <v>249</v>
      </c>
      <c r="B84" s="199" t="s">
        <v>250</v>
      </c>
      <c r="C84" s="189"/>
      <c r="D84" s="189"/>
      <c r="E84" s="125"/>
    </row>
    <row r="85" spans="1:5" s="54" customFormat="1" ht="12" customHeight="1">
      <c r="A85" s="220" t="s">
        <v>251</v>
      </c>
      <c r="B85" s="199" t="s">
        <v>252</v>
      </c>
      <c r="C85" s="189"/>
      <c r="D85" s="189"/>
      <c r="E85" s="125"/>
    </row>
    <row r="86" spans="1:5" s="53" customFormat="1" ht="12" customHeight="1" thickBot="1">
      <c r="A86" s="221" t="s">
        <v>253</v>
      </c>
      <c r="B86" s="200" t="s">
        <v>254</v>
      </c>
      <c r="C86" s="189"/>
      <c r="D86" s="189"/>
      <c r="E86" s="125"/>
    </row>
    <row r="87" spans="1:5" s="53" customFormat="1" ht="12" customHeight="1" thickBot="1">
      <c r="A87" s="218" t="s">
        <v>255</v>
      </c>
      <c r="B87" s="128" t="s">
        <v>392</v>
      </c>
      <c r="C87" s="241"/>
      <c r="D87" s="241"/>
      <c r="E87" s="242"/>
    </row>
    <row r="88" spans="1:5" s="53" customFormat="1" ht="12" customHeight="1" thickBot="1">
      <c r="A88" s="218" t="s">
        <v>413</v>
      </c>
      <c r="B88" s="128" t="s">
        <v>256</v>
      </c>
      <c r="C88" s="241"/>
      <c r="D88" s="241"/>
      <c r="E88" s="242"/>
    </row>
    <row r="89" spans="1:5" s="53" customFormat="1" ht="12" customHeight="1" thickBot="1">
      <c r="A89" s="218" t="s">
        <v>414</v>
      </c>
      <c r="B89" s="205" t="s">
        <v>395</v>
      </c>
      <c r="C89" s="191">
        <f>+C66+C70+C75+C78+C82+C88+C87</f>
        <v>0</v>
      </c>
      <c r="D89" s="191">
        <f>+D66+D70+D75+D78+D82+D88+D87</f>
        <v>0</v>
      </c>
      <c r="E89" s="227">
        <f>+E66+E70+E75+E78+E82+E88+E87</f>
        <v>0</v>
      </c>
    </row>
    <row r="90" spans="1:5" s="53" customFormat="1" ht="12" customHeight="1" thickBot="1">
      <c r="A90" s="222" t="s">
        <v>415</v>
      </c>
      <c r="B90" s="206" t="s">
        <v>416</v>
      </c>
      <c r="C90" s="191">
        <f>+C65+C89</f>
        <v>16102500</v>
      </c>
      <c r="D90" s="191">
        <f>+D65+D89</f>
        <v>16102500</v>
      </c>
      <c r="E90" s="227">
        <f>+E65+E89</f>
        <v>8012839</v>
      </c>
    </row>
    <row r="91" spans="1:5" s="54" customFormat="1" ht="15.2" customHeight="1" thickBot="1">
      <c r="A91" s="97"/>
      <c r="B91" s="98"/>
      <c r="C91" s="167"/>
    </row>
    <row r="92" spans="1:5" s="47" customFormat="1" ht="16.5" customHeight="1" thickBot="1">
      <c r="A92" s="530" t="s">
        <v>44</v>
      </c>
      <c r="B92" s="531"/>
      <c r="C92" s="531"/>
      <c r="D92" s="531"/>
      <c r="E92" s="532"/>
    </row>
    <row r="93" spans="1:5" s="55" customFormat="1" ht="12" customHeight="1" thickBot="1">
      <c r="A93" s="192" t="s">
        <v>9</v>
      </c>
      <c r="B93" s="24" t="s">
        <v>420</v>
      </c>
      <c r="C93" s="184">
        <f>+C94+C95+C96+C97+C98+C111</f>
        <v>16102500</v>
      </c>
      <c r="D93" s="184">
        <f>+D94+D95+D96+D97+D98+D111</f>
        <v>16102500</v>
      </c>
      <c r="E93" s="256">
        <f>+E94+E95+E96+E97+E98+E111</f>
        <v>8012839</v>
      </c>
    </row>
    <row r="94" spans="1:5" ht="12" customHeight="1">
      <c r="A94" s="223" t="s">
        <v>67</v>
      </c>
      <c r="B94" s="8" t="s">
        <v>38</v>
      </c>
      <c r="C94" s="263">
        <v>13568840</v>
      </c>
      <c r="D94" s="263">
        <v>13568840</v>
      </c>
      <c r="E94" s="257">
        <v>6733478</v>
      </c>
    </row>
    <row r="95" spans="1:5" ht="12" customHeight="1">
      <c r="A95" s="216" t="s">
        <v>68</v>
      </c>
      <c r="B95" s="6" t="s">
        <v>128</v>
      </c>
      <c r="C95" s="186">
        <v>2533660</v>
      </c>
      <c r="D95" s="186">
        <v>2533660</v>
      </c>
      <c r="E95" s="122">
        <v>1279361</v>
      </c>
    </row>
    <row r="96" spans="1:5" ht="12" customHeight="1">
      <c r="A96" s="216" t="s">
        <v>69</v>
      </c>
      <c r="B96" s="6" t="s">
        <v>95</v>
      </c>
      <c r="C96" s="188"/>
      <c r="D96" s="186"/>
      <c r="E96" s="124"/>
    </row>
    <row r="97" spans="1:5" ht="12" customHeight="1">
      <c r="A97" s="216" t="s">
        <v>70</v>
      </c>
      <c r="B97" s="9" t="s">
        <v>129</v>
      </c>
      <c r="C97" s="188"/>
      <c r="D97" s="276"/>
      <c r="E97" s="124"/>
    </row>
    <row r="98" spans="1:5" ht="12" customHeight="1">
      <c r="A98" s="216" t="s">
        <v>79</v>
      </c>
      <c r="B98" s="17" t="s">
        <v>130</v>
      </c>
      <c r="C98" s="188"/>
      <c r="D98" s="276"/>
      <c r="E98" s="124"/>
    </row>
    <row r="99" spans="1:5" ht="12" customHeight="1">
      <c r="A99" s="216" t="s">
        <v>71</v>
      </c>
      <c r="B99" s="6" t="s">
        <v>417</v>
      </c>
      <c r="C99" s="188"/>
      <c r="D99" s="276"/>
      <c r="E99" s="124"/>
    </row>
    <row r="100" spans="1:5" ht="12" customHeight="1">
      <c r="A100" s="216" t="s">
        <v>72</v>
      </c>
      <c r="B100" s="65" t="s">
        <v>358</v>
      </c>
      <c r="C100" s="188"/>
      <c r="D100" s="276"/>
      <c r="E100" s="124"/>
    </row>
    <row r="101" spans="1:5" ht="12" customHeight="1">
      <c r="A101" s="216" t="s">
        <v>80</v>
      </c>
      <c r="B101" s="65" t="s">
        <v>357</v>
      </c>
      <c r="C101" s="188"/>
      <c r="D101" s="276"/>
      <c r="E101" s="124"/>
    </row>
    <row r="102" spans="1:5" ht="12" customHeight="1">
      <c r="A102" s="216" t="s">
        <v>81</v>
      </c>
      <c r="B102" s="65" t="s">
        <v>272</v>
      </c>
      <c r="C102" s="188"/>
      <c r="D102" s="276"/>
      <c r="E102" s="124"/>
    </row>
    <row r="103" spans="1:5" ht="12" customHeight="1">
      <c r="A103" s="216" t="s">
        <v>82</v>
      </c>
      <c r="B103" s="66" t="s">
        <v>273</v>
      </c>
      <c r="C103" s="188"/>
      <c r="D103" s="276"/>
      <c r="E103" s="124"/>
    </row>
    <row r="104" spans="1:5" ht="12" customHeight="1">
      <c r="A104" s="216" t="s">
        <v>83</v>
      </c>
      <c r="B104" s="66" t="s">
        <v>274</v>
      </c>
      <c r="C104" s="188"/>
      <c r="D104" s="276"/>
      <c r="E104" s="124"/>
    </row>
    <row r="105" spans="1:5" ht="12" customHeight="1">
      <c r="A105" s="216" t="s">
        <v>85</v>
      </c>
      <c r="B105" s="65" t="s">
        <v>275</v>
      </c>
      <c r="C105" s="188"/>
      <c r="D105" s="276"/>
      <c r="E105" s="124"/>
    </row>
    <row r="106" spans="1:5" ht="12" customHeight="1">
      <c r="A106" s="216" t="s">
        <v>131</v>
      </c>
      <c r="B106" s="65" t="s">
        <v>276</v>
      </c>
      <c r="C106" s="188"/>
      <c r="D106" s="276"/>
      <c r="E106" s="124"/>
    </row>
    <row r="107" spans="1:5" ht="12" customHeight="1">
      <c r="A107" s="216" t="s">
        <v>270</v>
      </c>
      <c r="B107" s="66" t="s">
        <v>277</v>
      </c>
      <c r="C107" s="186"/>
      <c r="D107" s="276"/>
      <c r="E107" s="124"/>
    </row>
    <row r="108" spans="1:5" ht="12" customHeight="1">
      <c r="A108" s="224" t="s">
        <v>271</v>
      </c>
      <c r="B108" s="67" t="s">
        <v>278</v>
      </c>
      <c r="C108" s="188"/>
      <c r="D108" s="276"/>
      <c r="E108" s="124"/>
    </row>
    <row r="109" spans="1:5" ht="12" customHeight="1">
      <c r="A109" s="216" t="s">
        <v>355</v>
      </c>
      <c r="B109" s="67" t="s">
        <v>279</v>
      </c>
      <c r="C109" s="188"/>
      <c r="D109" s="276"/>
      <c r="E109" s="124"/>
    </row>
    <row r="110" spans="1:5" ht="12" customHeight="1">
      <c r="A110" s="216" t="s">
        <v>356</v>
      </c>
      <c r="B110" s="66" t="s">
        <v>280</v>
      </c>
      <c r="C110" s="186"/>
      <c r="D110" s="275"/>
      <c r="E110" s="122"/>
    </row>
    <row r="111" spans="1:5" ht="12" customHeight="1">
      <c r="A111" s="216" t="s">
        <v>360</v>
      </c>
      <c r="B111" s="9" t="s">
        <v>39</v>
      </c>
      <c r="C111" s="186"/>
      <c r="D111" s="275"/>
      <c r="E111" s="122"/>
    </row>
    <row r="112" spans="1:5" ht="12" customHeight="1">
      <c r="A112" s="217" t="s">
        <v>361</v>
      </c>
      <c r="B112" s="6" t="s">
        <v>418</v>
      </c>
      <c r="C112" s="188"/>
      <c r="D112" s="276"/>
      <c r="E112" s="124"/>
    </row>
    <row r="113" spans="1:5" ht="12" customHeight="1" thickBot="1">
      <c r="A113" s="225" t="s">
        <v>362</v>
      </c>
      <c r="B113" s="68" t="s">
        <v>419</v>
      </c>
      <c r="C113" s="264"/>
      <c r="D113" s="340"/>
      <c r="E113" s="258"/>
    </row>
    <row r="114" spans="1:5" ht="12" customHeight="1" thickBot="1">
      <c r="A114" s="25" t="s">
        <v>10</v>
      </c>
      <c r="B114" s="23" t="s">
        <v>281</v>
      </c>
      <c r="C114" s="185">
        <f>+C115+C117+C119</f>
        <v>0</v>
      </c>
      <c r="D114" s="273">
        <f>+D115+D117+D119</f>
        <v>0</v>
      </c>
      <c r="E114" s="121">
        <f>+E115+E117+E119</f>
        <v>0</v>
      </c>
    </row>
    <row r="115" spans="1:5" ht="12" customHeight="1">
      <c r="A115" s="215" t="s">
        <v>73</v>
      </c>
      <c r="B115" s="6" t="s">
        <v>157</v>
      </c>
      <c r="C115" s="187"/>
      <c r="D115" s="274"/>
      <c r="E115" s="123"/>
    </row>
    <row r="116" spans="1:5" ht="12" customHeight="1">
      <c r="A116" s="215" t="s">
        <v>74</v>
      </c>
      <c r="B116" s="10" t="s">
        <v>285</v>
      </c>
      <c r="C116" s="187"/>
      <c r="D116" s="274"/>
      <c r="E116" s="123"/>
    </row>
    <row r="117" spans="1:5" ht="12" customHeight="1">
      <c r="A117" s="215" t="s">
        <v>75</v>
      </c>
      <c r="B117" s="10" t="s">
        <v>132</v>
      </c>
      <c r="C117" s="186"/>
      <c r="D117" s="275"/>
      <c r="E117" s="122"/>
    </row>
    <row r="118" spans="1:5" ht="12" customHeight="1">
      <c r="A118" s="215" t="s">
        <v>76</v>
      </c>
      <c r="B118" s="10" t="s">
        <v>286</v>
      </c>
      <c r="C118" s="186"/>
      <c r="D118" s="275"/>
      <c r="E118" s="122"/>
    </row>
    <row r="119" spans="1:5" ht="12" customHeight="1">
      <c r="A119" s="215" t="s">
        <v>77</v>
      </c>
      <c r="B119" s="130" t="s">
        <v>159</v>
      </c>
      <c r="C119" s="186"/>
      <c r="D119" s="275"/>
      <c r="E119" s="122"/>
    </row>
    <row r="120" spans="1:5" ht="12" customHeight="1">
      <c r="A120" s="215" t="s">
        <v>84</v>
      </c>
      <c r="B120" s="129" t="s">
        <v>347</v>
      </c>
      <c r="C120" s="186"/>
      <c r="D120" s="275"/>
      <c r="E120" s="122"/>
    </row>
    <row r="121" spans="1:5" ht="12" customHeight="1">
      <c r="A121" s="215" t="s">
        <v>86</v>
      </c>
      <c r="B121" s="194" t="s">
        <v>291</v>
      </c>
      <c r="C121" s="186"/>
      <c r="D121" s="275"/>
      <c r="E121" s="122"/>
    </row>
    <row r="122" spans="1:5" ht="12" customHeight="1">
      <c r="A122" s="215" t="s">
        <v>133</v>
      </c>
      <c r="B122" s="66" t="s">
        <v>274</v>
      </c>
      <c r="C122" s="186"/>
      <c r="D122" s="275"/>
      <c r="E122" s="122"/>
    </row>
    <row r="123" spans="1:5" ht="12" customHeight="1">
      <c r="A123" s="215" t="s">
        <v>134</v>
      </c>
      <c r="B123" s="66" t="s">
        <v>290</v>
      </c>
      <c r="C123" s="186"/>
      <c r="D123" s="275"/>
      <c r="E123" s="122"/>
    </row>
    <row r="124" spans="1:5" ht="12" customHeight="1">
      <c r="A124" s="215" t="s">
        <v>135</v>
      </c>
      <c r="B124" s="66" t="s">
        <v>289</v>
      </c>
      <c r="C124" s="186"/>
      <c r="D124" s="275"/>
      <c r="E124" s="122"/>
    </row>
    <row r="125" spans="1:5" ht="12" customHeight="1">
      <c r="A125" s="215" t="s">
        <v>282</v>
      </c>
      <c r="B125" s="66" t="s">
        <v>277</v>
      </c>
      <c r="C125" s="186"/>
      <c r="D125" s="275"/>
      <c r="E125" s="122"/>
    </row>
    <row r="126" spans="1:5" ht="12" customHeight="1">
      <c r="A126" s="215" t="s">
        <v>283</v>
      </c>
      <c r="B126" s="66" t="s">
        <v>288</v>
      </c>
      <c r="C126" s="186"/>
      <c r="D126" s="275"/>
      <c r="E126" s="122"/>
    </row>
    <row r="127" spans="1:5" ht="12" customHeight="1" thickBot="1">
      <c r="A127" s="224" t="s">
        <v>284</v>
      </c>
      <c r="B127" s="66" t="s">
        <v>287</v>
      </c>
      <c r="C127" s="188"/>
      <c r="D127" s="276"/>
      <c r="E127" s="124"/>
    </row>
    <row r="128" spans="1:5" ht="12" customHeight="1" thickBot="1">
      <c r="A128" s="25" t="s">
        <v>11</v>
      </c>
      <c r="B128" s="59" t="s">
        <v>365</v>
      </c>
      <c r="C128" s="185">
        <f>+C93+C114</f>
        <v>16102500</v>
      </c>
      <c r="D128" s="273">
        <f>+D93+D114</f>
        <v>16102500</v>
      </c>
      <c r="E128" s="121">
        <f>+E93+E114</f>
        <v>8012839</v>
      </c>
    </row>
    <row r="129" spans="1:11" ht="12" customHeight="1" thickBot="1">
      <c r="A129" s="25" t="s">
        <v>12</v>
      </c>
      <c r="B129" s="59" t="s">
        <v>366</v>
      </c>
      <c r="C129" s="185">
        <f>+C130+C131+C132</f>
        <v>0</v>
      </c>
      <c r="D129" s="273">
        <f>+D130+D131+D132</f>
        <v>0</v>
      </c>
      <c r="E129" s="121">
        <f>+E130+E131+E132</f>
        <v>0</v>
      </c>
    </row>
    <row r="130" spans="1:11" s="55" customFormat="1" ht="12" customHeight="1">
      <c r="A130" s="215" t="s">
        <v>190</v>
      </c>
      <c r="B130" s="7" t="s">
        <v>423</v>
      </c>
      <c r="C130" s="186"/>
      <c r="D130" s="275"/>
      <c r="E130" s="122"/>
    </row>
    <row r="131" spans="1:11" ht="12" customHeight="1">
      <c r="A131" s="215" t="s">
        <v>191</v>
      </c>
      <c r="B131" s="7" t="s">
        <v>374</v>
      </c>
      <c r="C131" s="186"/>
      <c r="D131" s="275"/>
      <c r="E131" s="122"/>
    </row>
    <row r="132" spans="1:11" ht="12" customHeight="1" thickBot="1">
      <c r="A132" s="224" t="s">
        <v>192</v>
      </c>
      <c r="B132" s="5" t="s">
        <v>422</v>
      </c>
      <c r="C132" s="186"/>
      <c r="D132" s="275"/>
      <c r="E132" s="122"/>
    </row>
    <row r="133" spans="1:11" ht="12" customHeight="1" thickBot="1">
      <c r="A133" s="25" t="s">
        <v>13</v>
      </c>
      <c r="B133" s="59" t="s">
        <v>367</v>
      </c>
      <c r="C133" s="185">
        <f>+C134+C135+C136+C137+C138+C139</f>
        <v>0</v>
      </c>
      <c r="D133" s="273">
        <f>+D134+D135+D136+D137+D138+D139</f>
        <v>0</v>
      </c>
      <c r="E133" s="121">
        <f>+E134+E135+E136+E137+E138+E139</f>
        <v>0</v>
      </c>
    </row>
    <row r="134" spans="1:11" ht="12" customHeight="1">
      <c r="A134" s="215" t="s">
        <v>60</v>
      </c>
      <c r="B134" s="7" t="s">
        <v>376</v>
      </c>
      <c r="C134" s="186"/>
      <c r="D134" s="275"/>
      <c r="E134" s="122"/>
    </row>
    <row r="135" spans="1:11" ht="12" customHeight="1">
      <c r="A135" s="215" t="s">
        <v>61</v>
      </c>
      <c r="B135" s="7" t="s">
        <v>368</v>
      </c>
      <c r="C135" s="186"/>
      <c r="D135" s="275"/>
      <c r="E135" s="122"/>
    </row>
    <row r="136" spans="1:11" ht="12" customHeight="1">
      <c r="A136" s="215" t="s">
        <v>62</v>
      </c>
      <c r="B136" s="7" t="s">
        <v>369</v>
      </c>
      <c r="C136" s="186"/>
      <c r="D136" s="275"/>
      <c r="E136" s="122"/>
    </row>
    <row r="137" spans="1:11" ht="12" customHeight="1">
      <c r="A137" s="215" t="s">
        <v>120</v>
      </c>
      <c r="B137" s="7" t="s">
        <v>421</v>
      </c>
      <c r="C137" s="186"/>
      <c r="D137" s="275"/>
      <c r="E137" s="122"/>
    </row>
    <row r="138" spans="1:11" ht="12" customHeight="1">
      <c r="A138" s="215" t="s">
        <v>121</v>
      </c>
      <c r="B138" s="7" t="s">
        <v>371</v>
      </c>
      <c r="C138" s="186"/>
      <c r="D138" s="275"/>
      <c r="E138" s="122"/>
    </row>
    <row r="139" spans="1:11" s="55" customFormat="1" ht="12" customHeight="1" thickBot="1">
      <c r="A139" s="224" t="s">
        <v>122</v>
      </c>
      <c r="B139" s="5" t="s">
        <v>372</v>
      </c>
      <c r="C139" s="186"/>
      <c r="D139" s="275"/>
      <c r="E139" s="122"/>
    </row>
    <row r="140" spans="1:11" ht="12" customHeight="1" thickBot="1">
      <c r="A140" s="25" t="s">
        <v>14</v>
      </c>
      <c r="B140" s="59" t="s">
        <v>436</v>
      </c>
      <c r="C140" s="191">
        <f>+C141+C142+C144+C145+C143</f>
        <v>0</v>
      </c>
      <c r="D140" s="277">
        <f>+D141+D142+D144+D145+D143</f>
        <v>0</v>
      </c>
      <c r="E140" s="227">
        <f>+E141+E142+E144+E145+E143</f>
        <v>0</v>
      </c>
      <c r="K140" s="106"/>
    </row>
    <row r="141" spans="1:11">
      <c r="A141" s="215" t="s">
        <v>63</v>
      </c>
      <c r="B141" s="7" t="s">
        <v>292</v>
      </c>
      <c r="C141" s="186"/>
      <c r="D141" s="275"/>
      <c r="E141" s="122"/>
    </row>
    <row r="142" spans="1:11" ht="12" customHeight="1">
      <c r="A142" s="215" t="s">
        <v>64</v>
      </c>
      <c r="B142" s="7" t="s">
        <v>293</v>
      </c>
      <c r="C142" s="186"/>
      <c r="D142" s="275"/>
      <c r="E142" s="122"/>
    </row>
    <row r="143" spans="1:11" ht="12" customHeight="1">
      <c r="A143" s="215" t="s">
        <v>209</v>
      </c>
      <c r="B143" s="7" t="s">
        <v>435</v>
      </c>
      <c r="C143" s="186"/>
      <c r="D143" s="275"/>
      <c r="E143" s="122"/>
    </row>
    <row r="144" spans="1:11" s="55" customFormat="1" ht="12" customHeight="1">
      <c r="A144" s="215" t="s">
        <v>210</v>
      </c>
      <c r="B144" s="7" t="s">
        <v>381</v>
      </c>
      <c r="C144" s="186"/>
      <c r="D144" s="275"/>
      <c r="E144" s="122"/>
    </row>
    <row r="145" spans="1:5" s="55" customFormat="1" ht="12" customHeight="1" thickBot="1">
      <c r="A145" s="224" t="s">
        <v>211</v>
      </c>
      <c r="B145" s="5" t="s">
        <v>311</v>
      </c>
      <c r="C145" s="186"/>
      <c r="D145" s="275"/>
      <c r="E145" s="122"/>
    </row>
    <row r="146" spans="1:5" s="55" customFormat="1" ht="12" customHeight="1" thickBot="1">
      <c r="A146" s="25" t="s">
        <v>15</v>
      </c>
      <c r="B146" s="59" t="s">
        <v>382</v>
      </c>
      <c r="C146" s="266">
        <f>+C147+C148+C149+C150+C151</f>
        <v>0</v>
      </c>
      <c r="D146" s="278">
        <f>+D147+D148+D149+D150+D151</f>
        <v>0</v>
      </c>
      <c r="E146" s="260">
        <f>+E147+E148+E149+E150+E151</f>
        <v>0</v>
      </c>
    </row>
    <row r="147" spans="1:5" s="55" customFormat="1" ht="12" customHeight="1">
      <c r="A147" s="215" t="s">
        <v>65</v>
      </c>
      <c r="B147" s="7" t="s">
        <v>377</v>
      </c>
      <c r="C147" s="186"/>
      <c r="D147" s="275"/>
      <c r="E147" s="122"/>
    </row>
    <row r="148" spans="1:5" s="55" customFormat="1" ht="12" customHeight="1">
      <c r="A148" s="215" t="s">
        <v>66</v>
      </c>
      <c r="B148" s="7" t="s">
        <v>384</v>
      </c>
      <c r="C148" s="186"/>
      <c r="D148" s="275"/>
      <c r="E148" s="122"/>
    </row>
    <row r="149" spans="1:5" s="55" customFormat="1" ht="12" customHeight="1">
      <c r="A149" s="215" t="s">
        <v>221</v>
      </c>
      <c r="B149" s="7" t="s">
        <v>379</v>
      </c>
      <c r="C149" s="186"/>
      <c r="D149" s="275"/>
      <c r="E149" s="122"/>
    </row>
    <row r="150" spans="1:5" s="55" customFormat="1" ht="12" customHeight="1">
      <c r="A150" s="215" t="s">
        <v>222</v>
      </c>
      <c r="B150" s="7" t="s">
        <v>424</v>
      </c>
      <c r="C150" s="186"/>
      <c r="D150" s="275"/>
      <c r="E150" s="122"/>
    </row>
    <row r="151" spans="1:5" ht="12.75" customHeight="1" thickBot="1">
      <c r="A151" s="224" t="s">
        <v>383</v>
      </c>
      <c r="B151" s="5" t="s">
        <v>386</v>
      </c>
      <c r="C151" s="188"/>
      <c r="D151" s="276"/>
      <c r="E151" s="124"/>
    </row>
    <row r="152" spans="1:5" ht="12.75" customHeight="1" thickBot="1">
      <c r="A152" s="255" t="s">
        <v>16</v>
      </c>
      <c r="B152" s="59" t="s">
        <v>387</v>
      </c>
      <c r="C152" s="266"/>
      <c r="D152" s="278"/>
      <c r="E152" s="260"/>
    </row>
    <row r="153" spans="1:5" ht="12.75" customHeight="1" thickBot="1">
      <c r="A153" s="255" t="s">
        <v>17</v>
      </c>
      <c r="B153" s="59" t="s">
        <v>388</v>
      </c>
      <c r="C153" s="266"/>
      <c r="D153" s="278"/>
      <c r="E153" s="260"/>
    </row>
    <row r="154" spans="1:5" ht="12" customHeight="1" thickBot="1">
      <c r="A154" s="25" t="s">
        <v>18</v>
      </c>
      <c r="B154" s="59" t="s">
        <v>390</v>
      </c>
      <c r="C154" s="268">
        <f>+C129+C133+C140+C146+C152+C153</f>
        <v>0</v>
      </c>
      <c r="D154" s="280">
        <f>+D129+D133+D140+D146+D152+D153</f>
        <v>0</v>
      </c>
      <c r="E154" s="262">
        <f>+E129+E133+E140+E146+E152+E153</f>
        <v>0</v>
      </c>
    </row>
    <row r="155" spans="1:5" ht="15.2" customHeight="1" thickBot="1">
      <c r="A155" s="226" t="s">
        <v>19</v>
      </c>
      <c r="B155" s="172" t="s">
        <v>389</v>
      </c>
      <c r="C155" s="268">
        <f>+C128+C154</f>
        <v>16102500</v>
      </c>
      <c r="D155" s="280">
        <f>+D128+D154</f>
        <v>16102500</v>
      </c>
      <c r="E155" s="262">
        <f>+E128+E154</f>
        <v>8012839</v>
      </c>
    </row>
    <row r="156" spans="1:5" ht="13.5" thickBot="1">
      <c r="A156" s="175"/>
      <c r="B156" s="176"/>
      <c r="C156" s="464">
        <f>C90-C155</f>
        <v>0</v>
      </c>
      <c r="D156" s="464">
        <f>D90-D155</f>
        <v>0</v>
      </c>
      <c r="E156" s="177"/>
    </row>
    <row r="157" spans="1:5" ht="15.2" customHeight="1" thickBot="1">
      <c r="A157" s="350" t="s">
        <v>512</v>
      </c>
      <c r="B157" s="351"/>
      <c r="C157" s="339"/>
      <c r="D157" s="339"/>
      <c r="E157" s="338"/>
    </row>
    <row r="158" spans="1:5" ht="14.45" customHeight="1" thickBot="1">
      <c r="A158" s="352" t="s">
        <v>513</v>
      </c>
      <c r="B158" s="353"/>
      <c r="C158" s="339"/>
      <c r="D158" s="339"/>
      <c r="E158" s="338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C00000"/>
  </sheetPr>
  <dimension ref="A1:E61"/>
  <sheetViews>
    <sheetView zoomScale="120" zoomScaleNormal="120" workbookViewId="0">
      <selection activeCell="B2" sqref="B2:D2"/>
    </sheetView>
  </sheetViews>
  <sheetFormatPr defaultRowHeight="12.75"/>
  <cols>
    <col min="1" max="1" width="13" style="102" customWidth="1"/>
    <col min="2" max="2" width="59" style="103" customWidth="1"/>
    <col min="3" max="5" width="15.83203125" style="103" customWidth="1"/>
    <col min="6" max="16384" width="9.33203125" style="103"/>
  </cols>
  <sheetData>
    <row r="1" spans="1:5" s="93" customFormat="1" ht="21.2" customHeight="1" thickBot="1">
      <c r="A1" s="408"/>
      <c r="B1" s="534" t="str">
        <f>CONCATENATE("9.2. melléklet ",IB_ALAPADATOK!A7," ",IB_ALAPADATOK!B7," ",IB_ALAPADATOK!C7," ",IB_ALAPADATOK!D7)</f>
        <v xml:space="preserve">9.2. melléklet a 7/2019.(X.09.)  önkormányzati rendelethez </v>
      </c>
      <c r="C1" s="535"/>
      <c r="D1" s="535"/>
      <c r="E1" s="535"/>
    </row>
    <row r="2" spans="1:5" s="233" customFormat="1" ht="24.75" thickBot="1">
      <c r="A2" s="409" t="s">
        <v>479</v>
      </c>
      <c r="B2" s="536" t="str">
        <f>IB_ALAPADATOK!A11</f>
        <v>Borsodnádasdi Polgármesteri  Hivatal</v>
      </c>
      <c r="C2" s="537"/>
      <c r="D2" s="538"/>
      <c r="E2" s="410" t="s">
        <v>46</v>
      </c>
    </row>
    <row r="3" spans="1:5" s="233" customFormat="1" ht="24.75" thickBot="1">
      <c r="A3" s="409" t="s">
        <v>141</v>
      </c>
      <c r="B3" s="536" t="s">
        <v>319</v>
      </c>
      <c r="C3" s="537"/>
      <c r="D3" s="538"/>
      <c r="E3" s="410" t="s">
        <v>42</v>
      </c>
    </row>
    <row r="4" spans="1:5" s="234" customFormat="1" ht="15.95" customHeight="1" thickBot="1">
      <c r="A4" s="411"/>
      <c r="B4" s="411"/>
      <c r="C4" s="412"/>
      <c r="D4" s="413"/>
      <c r="E4" s="412" t="str">
        <f>'9.1.3.sz.mell'!E4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40000</v>
      </c>
      <c r="D8" s="138">
        <f>SUM(D9:D19)</f>
        <v>51002</v>
      </c>
      <c r="E8" s="166">
        <f>SUM(E9:E19)</f>
        <v>14156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>
        <v>31500</v>
      </c>
      <c r="D10" s="135">
        <v>26500</v>
      </c>
      <c r="E10" s="287">
        <v>6008</v>
      </c>
    </row>
    <row r="11" spans="1:5" s="171" customFormat="1" ht="12" customHeight="1">
      <c r="A11" s="229" t="s">
        <v>69</v>
      </c>
      <c r="B11" s="6" t="s">
        <v>200</v>
      </c>
      <c r="C11" s="135"/>
      <c r="D11" s="135">
        <v>10000</v>
      </c>
      <c r="E11" s="287">
        <v>4740</v>
      </c>
    </row>
    <row r="12" spans="1:5" s="171" customFormat="1" ht="12" customHeight="1">
      <c r="A12" s="229" t="s">
        <v>70</v>
      </c>
      <c r="B12" s="6" t="s">
        <v>601</v>
      </c>
      <c r="C12" s="135"/>
      <c r="D12" s="135">
        <v>0</v>
      </c>
      <c r="E12" s="287">
        <v>0</v>
      </c>
    </row>
    <row r="13" spans="1:5" s="171" customFormat="1" ht="12" customHeight="1">
      <c r="A13" s="229" t="s">
        <v>102</v>
      </c>
      <c r="B13" s="6" t="s">
        <v>202</v>
      </c>
      <c r="C13" s="135"/>
      <c r="D13" s="135"/>
      <c r="E13" s="287"/>
    </row>
    <row r="14" spans="1:5" s="171" customFormat="1" ht="12" customHeight="1">
      <c r="A14" s="229" t="s">
        <v>71</v>
      </c>
      <c r="B14" s="6" t="s">
        <v>320</v>
      </c>
      <c r="C14" s="135">
        <v>8500</v>
      </c>
      <c r="D14" s="135">
        <v>8500</v>
      </c>
      <c r="E14" s="287">
        <v>2902</v>
      </c>
    </row>
    <row r="15" spans="1:5" s="171" customFormat="1" ht="12" customHeight="1">
      <c r="A15" s="229" t="s">
        <v>72</v>
      </c>
      <c r="B15" s="5" t="s">
        <v>321</v>
      </c>
      <c r="C15" s="135"/>
      <c r="D15" s="135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293">
        <v>1002</v>
      </c>
      <c r="E16" s="291">
        <v>16</v>
      </c>
    </row>
    <row r="17" spans="1:5" s="236" customFormat="1" ht="12" customHeight="1">
      <c r="A17" s="229" t="s">
        <v>81</v>
      </c>
      <c r="B17" s="6" t="s">
        <v>206</v>
      </c>
      <c r="C17" s="135"/>
      <c r="D17" s="135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137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137">
        <v>5000</v>
      </c>
      <c r="E19" s="288">
        <v>490</v>
      </c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138">
        <f>SUM(D21:D23)</f>
        <v>2749490</v>
      </c>
      <c r="E20" s="166">
        <f>SUM(E21:E23)</f>
        <v>2655668</v>
      </c>
    </row>
    <row r="21" spans="1:5" s="236" customFormat="1" ht="12" customHeight="1">
      <c r="A21" s="229" t="s">
        <v>73</v>
      </c>
      <c r="B21" s="7" t="s">
        <v>181</v>
      </c>
      <c r="C21" s="135"/>
      <c r="D21" s="135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135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135">
        <v>2749490</v>
      </c>
      <c r="E23" s="287">
        <v>2655668</v>
      </c>
    </row>
    <row r="24" spans="1:5" s="236" customFormat="1" ht="12" customHeight="1" thickBot="1">
      <c r="A24" s="229" t="s">
        <v>76</v>
      </c>
      <c r="B24" s="6" t="s">
        <v>426</v>
      </c>
      <c r="C24" s="135"/>
      <c r="D24" s="135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4">
        <v>5000</v>
      </c>
      <c r="E25" s="165">
        <v>10000</v>
      </c>
    </row>
    <row r="26" spans="1:5" s="236" customFormat="1" ht="12" customHeight="1" thickBot="1">
      <c r="A26" s="89" t="s">
        <v>12</v>
      </c>
      <c r="B26" s="59" t="s">
        <v>427</v>
      </c>
      <c r="C26" s="138">
        <f>+C27+C28+C29</f>
        <v>0</v>
      </c>
      <c r="D26" s="138">
        <f>+D27+D28+D29</f>
        <v>0</v>
      </c>
      <c r="E26" s="166">
        <f>+E27+E28+E29</f>
        <v>0</v>
      </c>
    </row>
    <row r="27" spans="1:5" s="236" customFormat="1" ht="12" customHeight="1">
      <c r="A27" s="230" t="s">
        <v>190</v>
      </c>
      <c r="B27" s="231" t="s">
        <v>186</v>
      </c>
      <c r="C27" s="294"/>
      <c r="D27" s="294"/>
      <c r="E27" s="292"/>
    </row>
    <row r="28" spans="1:5" s="236" customFormat="1" ht="12" customHeight="1">
      <c r="A28" s="230" t="s">
        <v>191</v>
      </c>
      <c r="B28" s="231" t="s">
        <v>323</v>
      </c>
      <c r="C28" s="135"/>
      <c r="D28" s="135"/>
      <c r="E28" s="287"/>
    </row>
    <row r="29" spans="1:5" s="236" customFormat="1" ht="12" customHeight="1">
      <c r="A29" s="230" t="s">
        <v>192</v>
      </c>
      <c r="B29" s="232" t="s">
        <v>326</v>
      </c>
      <c r="C29" s="135"/>
      <c r="D29" s="135"/>
      <c r="E29" s="287"/>
    </row>
    <row r="30" spans="1:5" s="236" customFormat="1" ht="12" customHeight="1" thickBot="1">
      <c r="A30" s="229" t="s">
        <v>193</v>
      </c>
      <c r="B30" s="64" t="s">
        <v>428</v>
      </c>
      <c r="C30" s="50"/>
      <c r="D30" s="50"/>
      <c r="E30" s="343"/>
    </row>
    <row r="31" spans="1:5" s="236" customFormat="1" ht="12" customHeight="1" thickBot="1">
      <c r="A31" s="89" t="s">
        <v>13</v>
      </c>
      <c r="B31" s="59" t="s">
        <v>327</v>
      </c>
      <c r="C31" s="138">
        <f>+C32+C33+C34</f>
        <v>0</v>
      </c>
      <c r="D31" s="138">
        <f>+D32+D33+D34</f>
        <v>0</v>
      </c>
      <c r="E31" s="166">
        <f>+E32+E33+E34</f>
        <v>0</v>
      </c>
    </row>
    <row r="32" spans="1:5" s="236" customFormat="1" ht="12" customHeight="1">
      <c r="A32" s="230" t="s">
        <v>60</v>
      </c>
      <c r="B32" s="231" t="s">
        <v>212</v>
      </c>
      <c r="C32" s="294"/>
      <c r="D32" s="294"/>
      <c r="E32" s="292"/>
    </row>
    <row r="33" spans="1:5" s="236" customFormat="1" ht="12" customHeight="1">
      <c r="A33" s="230" t="s">
        <v>61</v>
      </c>
      <c r="B33" s="232" t="s">
        <v>213</v>
      </c>
      <c r="C33" s="139"/>
      <c r="D33" s="139"/>
      <c r="E33" s="289"/>
    </row>
    <row r="34" spans="1:5" s="236" customFormat="1" ht="12" customHeight="1" thickBot="1">
      <c r="A34" s="229" t="s">
        <v>62</v>
      </c>
      <c r="B34" s="64" t="s">
        <v>214</v>
      </c>
      <c r="C34" s="50"/>
      <c r="D34" s="50"/>
      <c r="E34" s="343"/>
    </row>
    <row r="35" spans="1:5" s="171" customFormat="1" ht="12" customHeight="1" thickBot="1">
      <c r="A35" s="89" t="s">
        <v>14</v>
      </c>
      <c r="B35" s="59" t="s">
        <v>297</v>
      </c>
      <c r="C35" s="344"/>
      <c r="D35" s="344"/>
      <c r="E35" s="165"/>
    </row>
    <row r="36" spans="1:5" s="171" customFormat="1" ht="12" customHeight="1" thickBot="1">
      <c r="A36" s="89" t="s">
        <v>15</v>
      </c>
      <c r="B36" s="59" t="s">
        <v>328</v>
      </c>
      <c r="C36" s="344"/>
      <c r="D36" s="344"/>
      <c r="E36" s="165"/>
    </row>
    <row r="37" spans="1:5" s="171" customFormat="1" ht="12" customHeight="1" thickBot="1">
      <c r="A37" s="84" t="s">
        <v>16</v>
      </c>
      <c r="B37" s="59" t="s">
        <v>329</v>
      </c>
      <c r="C37" s="138">
        <f>+C8+C20+C25+C26+C31+C35+C36</f>
        <v>40000</v>
      </c>
      <c r="D37" s="138">
        <f>+D8+D20+D25+D26+D31+D35+D36</f>
        <v>2805492</v>
      </c>
      <c r="E37" s="166">
        <f>+E8+E20+E25+E26+E31+E35+E36</f>
        <v>2679824</v>
      </c>
    </row>
    <row r="38" spans="1:5" s="171" customFormat="1" ht="12" customHeight="1" thickBot="1">
      <c r="A38" s="95" t="s">
        <v>17</v>
      </c>
      <c r="B38" s="59" t="s">
        <v>330</v>
      </c>
      <c r="C38" s="138">
        <f>+C39+C40+C41</f>
        <v>89343000</v>
      </c>
      <c r="D38" s="138">
        <f>+D39+D40+D41</f>
        <v>89723614</v>
      </c>
      <c r="E38" s="166">
        <f>+E39+E40+E41</f>
        <v>38449843</v>
      </c>
    </row>
    <row r="39" spans="1:5" s="171" customFormat="1" ht="12" customHeight="1">
      <c r="A39" s="230" t="s">
        <v>331</v>
      </c>
      <c r="B39" s="231" t="s">
        <v>163</v>
      </c>
      <c r="C39" s="294"/>
      <c r="D39" s="294">
        <v>380614</v>
      </c>
      <c r="E39" s="292">
        <v>380614</v>
      </c>
    </row>
    <row r="40" spans="1:5" s="171" customFormat="1" ht="12" customHeight="1">
      <c r="A40" s="230" t="s">
        <v>332</v>
      </c>
      <c r="B40" s="232" t="s">
        <v>2</v>
      </c>
      <c r="C40" s="139"/>
      <c r="D40" s="139"/>
      <c r="E40" s="289"/>
    </row>
    <row r="41" spans="1:5" s="236" customFormat="1" ht="12" customHeight="1" thickBot="1">
      <c r="A41" s="229" t="s">
        <v>333</v>
      </c>
      <c r="B41" s="64" t="s">
        <v>334</v>
      </c>
      <c r="C41" s="50">
        <v>89343000</v>
      </c>
      <c r="D41" s="50">
        <v>89343000</v>
      </c>
      <c r="E41" s="343">
        <v>38069229</v>
      </c>
    </row>
    <row r="42" spans="1:5" s="236" customFormat="1" ht="15.2" customHeight="1" thickBot="1">
      <c r="A42" s="95" t="s">
        <v>18</v>
      </c>
      <c r="B42" s="96" t="s">
        <v>335</v>
      </c>
      <c r="C42" s="345">
        <f>+C37+C38</f>
        <v>89383000</v>
      </c>
      <c r="D42" s="345">
        <f>+D37+D38</f>
        <v>92529106</v>
      </c>
      <c r="E42" s="169">
        <f>+E37+E38</f>
        <v>41129667</v>
      </c>
    </row>
    <row r="43" spans="1:5" s="236" customFormat="1" ht="15.2" customHeight="1">
      <c r="A43" s="97"/>
      <c r="B43" s="98"/>
      <c r="C43" s="167"/>
    </row>
    <row r="44" spans="1:5" ht="13.5" thickBot="1">
      <c r="A44" s="99"/>
      <c r="B44" s="100"/>
      <c r="C44" s="168"/>
    </row>
    <row r="45" spans="1:5" s="235" customFormat="1" ht="16.5" customHeight="1" thickBot="1">
      <c r="A45" s="530" t="s">
        <v>44</v>
      </c>
      <c r="B45" s="531"/>
      <c r="C45" s="531"/>
      <c r="D45" s="531"/>
      <c r="E45" s="532"/>
    </row>
    <row r="46" spans="1:5" s="237" customFormat="1" ht="12" customHeight="1" thickBot="1">
      <c r="A46" s="89" t="s">
        <v>9</v>
      </c>
      <c r="B46" s="59" t="s">
        <v>336</v>
      </c>
      <c r="C46" s="138">
        <f>SUM(C47:C51)</f>
        <v>88883000</v>
      </c>
      <c r="D46" s="138">
        <f>SUM(D47:D51)</f>
        <v>91388146</v>
      </c>
      <c r="E46" s="166">
        <f>SUM(E47:E51)</f>
        <v>38924904</v>
      </c>
    </row>
    <row r="47" spans="1:5" ht="12" customHeight="1">
      <c r="A47" s="229" t="s">
        <v>67</v>
      </c>
      <c r="B47" s="7" t="s">
        <v>38</v>
      </c>
      <c r="C47" s="294">
        <v>62503000</v>
      </c>
      <c r="D47" s="294">
        <v>62942000</v>
      </c>
      <c r="E47" s="292">
        <v>27342026</v>
      </c>
    </row>
    <row r="48" spans="1:5" ht="12" customHeight="1">
      <c r="A48" s="229" t="s">
        <v>68</v>
      </c>
      <c r="B48" s="6" t="s">
        <v>128</v>
      </c>
      <c r="C48" s="49">
        <v>11530000</v>
      </c>
      <c r="D48" s="49">
        <v>11670042</v>
      </c>
      <c r="E48" s="290">
        <v>5361346</v>
      </c>
    </row>
    <row r="49" spans="1:5" ht="12" customHeight="1">
      <c r="A49" s="229" t="s">
        <v>69</v>
      </c>
      <c r="B49" s="6" t="s">
        <v>95</v>
      </c>
      <c r="C49" s="49">
        <v>14850000</v>
      </c>
      <c r="D49" s="49">
        <v>16776104</v>
      </c>
      <c r="E49" s="290">
        <v>6221532</v>
      </c>
    </row>
    <row r="50" spans="1:5" ht="12" customHeight="1">
      <c r="A50" s="229" t="s">
        <v>70</v>
      </c>
      <c r="B50" s="6" t="s">
        <v>129</v>
      </c>
      <c r="C50" s="49"/>
      <c r="D50" s="49"/>
      <c r="E50" s="290"/>
    </row>
    <row r="51" spans="1:5" ht="12" customHeight="1" thickBot="1">
      <c r="A51" s="229" t="s">
        <v>102</v>
      </c>
      <c r="B51" s="6" t="s">
        <v>130</v>
      </c>
      <c r="C51" s="49"/>
      <c r="D51" s="49"/>
      <c r="E51" s="290"/>
    </row>
    <row r="52" spans="1:5" ht="12" customHeight="1" thickBot="1">
      <c r="A52" s="89" t="s">
        <v>10</v>
      </c>
      <c r="B52" s="59" t="s">
        <v>337</v>
      </c>
      <c r="C52" s="138">
        <f>SUM(C53:C55)</f>
        <v>500000</v>
      </c>
      <c r="D52" s="138">
        <f>SUM(D53:D55)</f>
        <v>1140960</v>
      </c>
      <c r="E52" s="166">
        <f>SUM(E53:E55)</f>
        <v>703420</v>
      </c>
    </row>
    <row r="53" spans="1:5" s="237" customFormat="1" ht="12" customHeight="1">
      <c r="A53" s="229" t="s">
        <v>73</v>
      </c>
      <c r="B53" s="7" t="s">
        <v>157</v>
      </c>
      <c r="C53" s="294">
        <v>500000</v>
      </c>
      <c r="D53" s="294">
        <v>1140960</v>
      </c>
      <c r="E53" s="292">
        <v>703420</v>
      </c>
    </row>
    <row r="54" spans="1:5" ht="12" customHeight="1">
      <c r="A54" s="229" t="s">
        <v>74</v>
      </c>
      <c r="B54" s="6" t="s">
        <v>132</v>
      </c>
      <c r="C54" s="49"/>
      <c r="D54" s="49"/>
      <c r="E54" s="290"/>
    </row>
    <row r="55" spans="1:5" ht="12" customHeight="1">
      <c r="A55" s="229" t="s">
        <v>75</v>
      </c>
      <c r="B55" s="6" t="s">
        <v>45</v>
      </c>
      <c r="C55" s="49"/>
      <c r="D55" s="49"/>
      <c r="E55" s="290"/>
    </row>
    <row r="56" spans="1:5" ht="12" customHeight="1" thickBot="1">
      <c r="A56" s="229" t="s">
        <v>76</v>
      </c>
      <c r="B56" s="6" t="s">
        <v>429</v>
      </c>
      <c r="C56" s="49"/>
      <c r="D56" s="49"/>
      <c r="E56" s="290"/>
    </row>
    <row r="57" spans="1:5" ht="12" customHeight="1" thickBot="1">
      <c r="A57" s="89" t="s">
        <v>11</v>
      </c>
      <c r="B57" s="59" t="s">
        <v>5</v>
      </c>
      <c r="C57" s="344"/>
      <c r="D57" s="344"/>
      <c r="E57" s="165"/>
    </row>
    <row r="58" spans="1:5" ht="15.2" customHeight="1" thickBot="1">
      <c r="A58" s="89" t="s">
        <v>12</v>
      </c>
      <c r="B58" s="101" t="s">
        <v>433</v>
      </c>
      <c r="C58" s="345">
        <f>+C46+C52+C57</f>
        <v>89383000</v>
      </c>
      <c r="D58" s="345">
        <f>+D46+D52+D57</f>
        <v>92529106</v>
      </c>
      <c r="E58" s="169">
        <f>+E46+E52+E57</f>
        <v>39628324</v>
      </c>
    </row>
    <row r="59" spans="1:5" ht="13.5" thickBot="1">
      <c r="C59" s="464">
        <f>C42-C58</f>
        <v>0</v>
      </c>
      <c r="D59" s="464">
        <f>D42-D58</f>
        <v>0</v>
      </c>
      <c r="E59" s="170"/>
    </row>
    <row r="60" spans="1:5" ht="15.2" customHeight="1" thickBot="1">
      <c r="A60" s="350" t="s">
        <v>512</v>
      </c>
      <c r="B60" s="351"/>
      <c r="C60" s="339"/>
      <c r="D60" s="339"/>
      <c r="E60" s="338"/>
    </row>
    <row r="61" spans="1:5" ht="14.45" customHeight="1" thickBot="1">
      <c r="A61" s="352" t="s">
        <v>513</v>
      </c>
      <c r="B61" s="353"/>
      <c r="C61" s="339"/>
      <c r="D61" s="339"/>
      <c r="E61" s="338"/>
    </row>
  </sheetData>
  <sheetProtection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C00000"/>
  </sheetPr>
  <dimension ref="A1:E61"/>
  <sheetViews>
    <sheetView zoomScale="120" zoomScaleNormal="120" workbookViewId="0">
      <selection activeCell="B2" sqref="B2:D2"/>
    </sheetView>
  </sheetViews>
  <sheetFormatPr defaultRowHeight="12.75"/>
  <cols>
    <col min="1" max="1" width="13" style="102" customWidth="1"/>
    <col min="2" max="2" width="59" style="103" customWidth="1"/>
    <col min="3" max="5" width="15.83203125" style="103" customWidth="1"/>
    <col min="6" max="16384" width="9.33203125" style="103"/>
  </cols>
  <sheetData>
    <row r="1" spans="1:5" s="93" customFormat="1" ht="21.2" customHeight="1" thickBot="1">
      <c r="A1" s="408"/>
      <c r="B1" s="539" t="str">
        <f>CONCATENATE("9.2.1. melléklet ",IB_ALAPADATOK!A7," ",IB_ALAPADATOK!B7," ",IB_ALAPADATOK!C7," ",IB_ALAPADATOK!D7)</f>
        <v xml:space="preserve">9.2.1. melléklet a 7/2019.(X.09.)  önkormányzati rendelethez </v>
      </c>
      <c r="C1" s="540"/>
      <c r="D1" s="540"/>
      <c r="E1" s="540"/>
    </row>
    <row r="2" spans="1:5" s="233" customFormat="1" ht="24.75" thickBot="1">
      <c r="A2" s="409" t="s">
        <v>479</v>
      </c>
      <c r="B2" s="536" t="str">
        <f>CONCATENATE('9.2.sz.mell'!B2:D2)</f>
        <v>Borsodnádasdi Polgármesteri  Hivatal</v>
      </c>
      <c r="C2" s="537"/>
      <c r="D2" s="538"/>
      <c r="E2" s="410" t="s">
        <v>46</v>
      </c>
    </row>
    <row r="3" spans="1:5" s="233" customFormat="1" ht="24.75" thickBot="1">
      <c r="A3" s="409" t="s">
        <v>141</v>
      </c>
      <c r="B3" s="536" t="s">
        <v>338</v>
      </c>
      <c r="C3" s="537"/>
      <c r="D3" s="538"/>
      <c r="E3" s="410" t="s">
        <v>46</v>
      </c>
    </row>
    <row r="4" spans="1:5" s="234" customFormat="1" ht="15.95" customHeight="1" thickBot="1">
      <c r="A4" s="411"/>
      <c r="B4" s="411"/>
      <c r="C4" s="412"/>
      <c r="D4" s="413"/>
      <c r="E4" s="412" t="str">
        <f>'9.2.sz.mell'!E4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40000</v>
      </c>
      <c r="D8" s="138">
        <f>SUM(D9:D19)</f>
        <v>51002</v>
      </c>
      <c r="E8" s="166">
        <f>SUM(E9:E19)</f>
        <v>14156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>
        <v>31500</v>
      </c>
      <c r="D10" s="135">
        <v>26500</v>
      </c>
      <c r="E10" s="287">
        <v>6008</v>
      </c>
    </row>
    <row r="11" spans="1:5" s="171" customFormat="1" ht="12" customHeight="1">
      <c r="A11" s="229" t="s">
        <v>69</v>
      </c>
      <c r="B11" s="6" t="s">
        <v>200</v>
      </c>
      <c r="C11" s="135"/>
      <c r="D11" s="135">
        <v>10000</v>
      </c>
      <c r="E11" s="287">
        <v>4740</v>
      </c>
    </row>
    <row r="12" spans="1:5" s="171" customFormat="1" ht="12" customHeight="1">
      <c r="A12" s="229" t="s">
        <v>70</v>
      </c>
      <c r="B12" s="6" t="s">
        <v>201</v>
      </c>
      <c r="C12" s="135"/>
      <c r="D12" s="135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135"/>
      <c r="E13" s="287"/>
    </row>
    <row r="14" spans="1:5" s="171" customFormat="1" ht="12" customHeight="1">
      <c r="A14" s="229" t="s">
        <v>71</v>
      </c>
      <c r="B14" s="6" t="s">
        <v>320</v>
      </c>
      <c r="C14" s="135">
        <v>8500</v>
      </c>
      <c r="D14" s="135">
        <v>8500</v>
      </c>
      <c r="E14" s="287">
        <v>2902</v>
      </c>
    </row>
    <row r="15" spans="1:5" s="171" customFormat="1" ht="12" customHeight="1">
      <c r="A15" s="229" t="s">
        <v>72</v>
      </c>
      <c r="B15" s="5" t="s">
        <v>321</v>
      </c>
      <c r="C15" s="135"/>
      <c r="D15" s="135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293">
        <v>1002</v>
      </c>
      <c r="E16" s="291">
        <v>16</v>
      </c>
    </row>
    <row r="17" spans="1:5" s="236" customFormat="1" ht="12" customHeight="1">
      <c r="A17" s="229" t="s">
        <v>81</v>
      </c>
      <c r="B17" s="6" t="s">
        <v>206</v>
      </c>
      <c r="C17" s="135"/>
      <c r="D17" s="135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137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137">
        <v>5000</v>
      </c>
      <c r="E19" s="288">
        <v>490</v>
      </c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138">
        <f>SUM(D21:D23)</f>
        <v>2749490</v>
      </c>
      <c r="E20" s="166">
        <f>SUM(E21:E23)</f>
        <v>2655668</v>
      </c>
    </row>
    <row r="21" spans="1:5" s="236" customFormat="1" ht="12" customHeight="1">
      <c r="A21" s="229" t="s">
        <v>73</v>
      </c>
      <c r="B21" s="7" t="s">
        <v>181</v>
      </c>
      <c r="C21" s="135"/>
      <c r="D21" s="135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135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135">
        <v>2749490</v>
      </c>
      <c r="E23" s="287">
        <v>2655668</v>
      </c>
    </row>
    <row r="24" spans="1:5" s="236" customFormat="1" ht="12" customHeight="1" thickBot="1">
      <c r="A24" s="229" t="s">
        <v>76</v>
      </c>
      <c r="B24" s="6" t="s">
        <v>426</v>
      </c>
      <c r="C24" s="135"/>
      <c r="D24" s="135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4">
        <v>5000</v>
      </c>
      <c r="E25" s="165">
        <v>10000</v>
      </c>
    </row>
    <row r="26" spans="1:5" s="236" customFormat="1" ht="12" customHeight="1" thickBot="1">
      <c r="A26" s="89" t="s">
        <v>12</v>
      </c>
      <c r="B26" s="59" t="s">
        <v>427</v>
      </c>
      <c r="C26" s="138">
        <f>+C27+C28+C29</f>
        <v>0</v>
      </c>
      <c r="D26" s="138">
        <f>+D27+D28+D29</f>
        <v>0</v>
      </c>
      <c r="E26" s="166">
        <f>+E27+E28+E29</f>
        <v>0</v>
      </c>
    </row>
    <row r="27" spans="1:5" s="236" customFormat="1" ht="12" customHeight="1">
      <c r="A27" s="230" t="s">
        <v>190</v>
      </c>
      <c r="B27" s="231" t="s">
        <v>186</v>
      </c>
      <c r="C27" s="294"/>
      <c r="D27" s="294"/>
      <c r="E27" s="292"/>
    </row>
    <row r="28" spans="1:5" s="236" customFormat="1" ht="12" customHeight="1">
      <c r="A28" s="230" t="s">
        <v>191</v>
      </c>
      <c r="B28" s="231" t="s">
        <v>323</v>
      </c>
      <c r="C28" s="135"/>
      <c r="D28" s="135"/>
      <c r="E28" s="287"/>
    </row>
    <row r="29" spans="1:5" s="236" customFormat="1" ht="12" customHeight="1">
      <c r="A29" s="230" t="s">
        <v>192</v>
      </c>
      <c r="B29" s="232" t="s">
        <v>326</v>
      </c>
      <c r="C29" s="135"/>
      <c r="D29" s="135"/>
      <c r="E29" s="287"/>
    </row>
    <row r="30" spans="1:5" s="236" customFormat="1" ht="12" customHeight="1" thickBot="1">
      <c r="A30" s="229" t="s">
        <v>193</v>
      </c>
      <c r="B30" s="64" t="s">
        <v>428</v>
      </c>
      <c r="C30" s="50"/>
      <c r="D30" s="50"/>
      <c r="E30" s="343"/>
    </row>
    <row r="31" spans="1:5" s="236" customFormat="1" ht="12" customHeight="1" thickBot="1">
      <c r="A31" s="89" t="s">
        <v>13</v>
      </c>
      <c r="B31" s="59" t="s">
        <v>327</v>
      </c>
      <c r="C31" s="138">
        <f>+C32+C33+C34</f>
        <v>0</v>
      </c>
      <c r="D31" s="138">
        <f>+D32+D33+D34</f>
        <v>0</v>
      </c>
      <c r="E31" s="166">
        <f>+E32+E33+E34</f>
        <v>0</v>
      </c>
    </row>
    <row r="32" spans="1:5" s="236" customFormat="1" ht="12" customHeight="1">
      <c r="A32" s="230" t="s">
        <v>60</v>
      </c>
      <c r="B32" s="231" t="s">
        <v>212</v>
      </c>
      <c r="C32" s="294"/>
      <c r="D32" s="294"/>
      <c r="E32" s="292"/>
    </row>
    <row r="33" spans="1:5" s="236" customFormat="1" ht="12" customHeight="1">
      <c r="A33" s="230" t="s">
        <v>61</v>
      </c>
      <c r="B33" s="232" t="s">
        <v>213</v>
      </c>
      <c r="C33" s="139"/>
      <c r="D33" s="139"/>
      <c r="E33" s="289"/>
    </row>
    <row r="34" spans="1:5" s="236" customFormat="1" ht="12" customHeight="1" thickBot="1">
      <c r="A34" s="229" t="s">
        <v>62</v>
      </c>
      <c r="B34" s="64" t="s">
        <v>214</v>
      </c>
      <c r="C34" s="50"/>
      <c r="D34" s="50"/>
      <c r="E34" s="343"/>
    </row>
    <row r="35" spans="1:5" s="171" customFormat="1" ht="12" customHeight="1" thickBot="1">
      <c r="A35" s="89" t="s">
        <v>14</v>
      </c>
      <c r="B35" s="59" t="s">
        <v>297</v>
      </c>
      <c r="C35" s="344"/>
      <c r="D35" s="344"/>
      <c r="E35" s="165"/>
    </row>
    <row r="36" spans="1:5" s="171" customFormat="1" ht="12" customHeight="1" thickBot="1">
      <c r="A36" s="89" t="s">
        <v>15</v>
      </c>
      <c r="B36" s="59" t="s">
        <v>328</v>
      </c>
      <c r="C36" s="344"/>
      <c r="D36" s="344"/>
      <c r="E36" s="165"/>
    </row>
    <row r="37" spans="1:5" s="171" customFormat="1" ht="12" customHeight="1" thickBot="1">
      <c r="A37" s="84" t="s">
        <v>16</v>
      </c>
      <c r="B37" s="59" t="s">
        <v>329</v>
      </c>
      <c r="C37" s="138">
        <f>+C8+C20+C25+C26+C31+C35+C36</f>
        <v>40000</v>
      </c>
      <c r="D37" s="138">
        <f>+D8+D20+D25+D26+D31+D35+D36</f>
        <v>2805492</v>
      </c>
      <c r="E37" s="166">
        <f>+E8+E20+E25+E26+E31+E35+E36</f>
        <v>2679824</v>
      </c>
    </row>
    <row r="38" spans="1:5" s="171" customFormat="1" ht="12" customHeight="1" thickBot="1">
      <c r="A38" s="95" t="s">
        <v>17</v>
      </c>
      <c r="B38" s="59" t="s">
        <v>330</v>
      </c>
      <c r="C38" s="138">
        <f>+C39+C40+C41</f>
        <v>89343000</v>
      </c>
      <c r="D38" s="138">
        <f>+D39+D40+D41</f>
        <v>89723614</v>
      </c>
      <c r="E38" s="166">
        <f>+E39+E40+E41</f>
        <v>38449843</v>
      </c>
    </row>
    <row r="39" spans="1:5" s="171" customFormat="1" ht="12" customHeight="1">
      <c r="A39" s="230" t="s">
        <v>331</v>
      </c>
      <c r="B39" s="231" t="s">
        <v>163</v>
      </c>
      <c r="C39" s="294"/>
      <c r="D39" s="294">
        <v>380614</v>
      </c>
      <c r="E39" s="292">
        <v>380614</v>
      </c>
    </row>
    <row r="40" spans="1:5" s="171" customFormat="1" ht="12" customHeight="1">
      <c r="A40" s="230" t="s">
        <v>332</v>
      </c>
      <c r="B40" s="232" t="s">
        <v>2</v>
      </c>
      <c r="C40" s="139"/>
      <c r="D40" s="139"/>
      <c r="E40" s="289"/>
    </row>
    <row r="41" spans="1:5" s="236" customFormat="1" ht="12" customHeight="1" thickBot="1">
      <c r="A41" s="229" t="s">
        <v>333</v>
      </c>
      <c r="B41" s="64" t="s">
        <v>334</v>
      </c>
      <c r="C41" s="50">
        <v>89343000</v>
      </c>
      <c r="D41" s="50">
        <v>89343000</v>
      </c>
      <c r="E41" s="343">
        <v>38069229</v>
      </c>
    </row>
    <row r="42" spans="1:5" s="236" customFormat="1" ht="15.2" customHeight="1" thickBot="1">
      <c r="A42" s="95" t="s">
        <v>18</v>
      </c>
      <c r="B42" s="96" t="s">
        <v>335</v>
      </c>
      <c r="C42" s="345">
        <f>+C37+C38</f>
        <v>89383000</v>
      </c>
      <c r="D42" s="345">
        <f>+D37+D38</f>
        <v>92529106</v>
      </c>
      <c r="E42" s="169">
        <f>+E37+E38</f>
        <v>41129667</v>
      </c>
    </row>
    <row r="43" spans="1:5" s="236" customFormat="1" ht="15.2" customHeight="1">
      <c r="A43" s="97"/>
      <c r="B43" s="98"/>
      <c r="C43" s="167"/>
    </row>
    <row r="44" spans="1:5" ht="13.5" thickBot="1">
      <c r="A44" s="99"/>
      <c r="B44" s="100"/>
      <c r="C44" s="168"/>
    </row>
    <row r="45" spans="1:5" s="235" customFormat="1" ht="16.5" customHeight="1" thickBot="1">
      <c r="A45" s="530" t="s">
        <v>44</v>
      </c>
      <c r="B45" s="531"/>
      <c r="C45" s="531"/>
      <c r="D45" s="531"/>
      <c r="E45" s="532"/>
    </row>
    <row r="46" spans="1:5" s="237" customFormat="1" ht="12" customHeight="1" thickBot="1">
      <c r="A46" s="89" t="s">
        <v>9</v>
      </c>
      <c r="B46" s="59" t="s">
        <v>336</v>
      </c>
      <c r="C46" s="138">
        <f>SUM(C47:C51)</f>
        <v>88883000</v>
      </c>
      <c r="D46" s="138">
        <f>SUM(D47:D51)</f>
        <v>91388146</v>
      </c>
      <c r="E46" s="166">
        <f>SUM(E47:E51)</f>
        <v>38924904</v>
      </c>
    </row>
    <row r="47" spans="1:5" ht="12" customHeight="1">
      <c r="A47" s="229" t="s">
        <v>67</v>
      </c>
      <c r="B47" s="7" t="s">
        <v>38</v>
      </c>
      <c r="C47" s="294">
        <v>62503000</v>
      </c>
      <c r="D47" s="294">
        <v>62942000</v>
      </c>
      <c r="E47" s="292">
        <v>27342026</v>
      </c>
    </row>
    <row r="48" spans="1:5" ht="12" customHeight="1">
      <c r="A48" s="229" t="s">
        <v>68</v>
      </c>
      <c r="B48" s="6" t="s">
        <v>128</v>
      </c>
      <c r="C48" s="49">
        <v>11530000</v>
      </c>
      <c r="D48" s="49">
        <v>11670042</v>
      </c>
      <c r="E48" s="290">
        <v>5361346</v>
      </c>
    </row>
    <row r="49" spans="1:5" ht="12" customHeight="1">
      <c r="A49" s="229" t="s">
        <v>69</v>
      </c>
      <c r="B49" s="6" t="s">
        <v>95</v>
      </c>
      <c r="C49" s="49">
        <v>14850000</v>
      </c>
      <c r="D49" s="49">
        <v>16776104</v>
      </c>
      <c r="E49" s="290">
        <v>6221532</v>
      </c>
    </row>
    <row r="50" spans="1:5" ht="12" customHeight="1">
      <c r="A50" s="229" t="s">
        <v>70</v>
      </c>
      <c r="B50" s="6" t="s">
        <v>129</v>
      </c>
      <c r="C50" s="49"/>
      <c r="D50" s="49"/>
      <c r="E50" s="290"/>
    </row>
    <row r="51" spans="1:5" ht="12" customHeight="1" thickBot="1">
      <c r="A51" s="229" t="s">
        <v>102</v>
      </c>
      <c r="B51" s="6" t="s">
        <v>130</v>
      </c>
      <c r="C51" s="49"/>
      <c r="D51" s="49"/>
      <c r="E51" s="290"/>
    </row>
    <row r="52" spans="1:5" ht="12" customHeight="1" thickBot="1">
      <c r="A52" s="89" t="s">
        <v>10</v>
      </c>
      <c r="B52" s="59" t="s">
        <v>337</v>
      </c>
      <c r="C52" s="138">
        <f>SUM(C53:C55)</f>
        <v>500000</v>
      </c>
      <c r="D52" s="138">
        <f>SUM(D53:D55)</f>
        <v>1140960</v>
      </c>
      <c r="E52" s="166">
        <f>SUM(E53:E55)</f>
        <v>703420</v>
      </c>
    </row>
    <row r="53" spans="1:5" s="237" customFormat="1" ht="12" customHeight="1">
      <c r="A53" s="229" t="s">
        <v>73</v>
      </c>
      <c r="B53" s="7" t="s">
        <v>157</v>
      </c>
      <c r="C53" s="294">
        <v>500000</v>
      </c>
      <c r="D53" s="294">
        <v>1140960</v>
      </c>
      <c r="E53" s="292">
        <v>703420</v>
      </c>
    </row>
    <row r="54" spans="1:5" ht="12" customHeight="1">
      <c r="A54" s="229" t="s">
        <v>74</v>
      </c>
      <c r="B54" s="6" t="s">
        <v>132</v>
      </c>
      <c r="C54" s="49"/>
      <c r="D54" s="49"/>
      <c r="E54" s="290"/>
    </row>
    <row r="55" spans="1:5" ht="12" customHeight="1">
      <c r="A55" s="229" t="s">
        <v>75</v>
      </c>
      <c r="B55" s="6" t="s">
        <v>45</v>
      </c>
      <c r="C55" s="49"/>
      <c r="D55" s="49"/>
      <c r="E55" s="290"/>
    </row>
    <row r="56" spans="1:5" ht="12" customHeight="1" thickBot="1">
      <c r="A56" s="229" t="s">
        <v>76</v>
      </c>
      <c r="B56" s="6" t="s">
        <v>429</v>
      </c>
      <c r="C56" s="49"/>
      <c r="D56" s="49"/>
      <c r="E56" s="290"/>
    </row>
    <row r="57" spans="1:5" ht="12" customHeight="1" thickBot="1">
      <c r="A57" s="89" t="s">
        <v>11</v>
      </c>
      <c r="B57" s="59" t="s">
        <v>5</v>
      </c>
      <c r="C57" s="344"/>
      <c r="D57" s="344"/>
      <c r="E57" s="165"/>
    </row>
    <row r="58" spans="1:5" ht="15.2" customHeight="1" thickBot="1">
      <c r="A58" s="89" t="s">
        <v>12</v>
      </c>
      <c r="B58" s="101" t="s">
        <v>433</v>
      </c>
      <c r="C58" s="345">
        <f>+C46+C52+C57</f>
        <v>89383000</v>
      </c>
      <c r="D58" s="345">
        <f>+D46+D52+D57</f>
        <v>92529106</v>
      </c>
      <c r="E58" s="169">
        <f>+E46+E52+E57</f>
        <v>39628324</v>
      </c>
    </row>
    <row r="59" spans="1:5" ht="13.5" thickBot="1">
      <c r="C59" s="464">
        <f>C42-C58</f>
        <v>0</v>
      </c>
      <c r="D59" s="464">
        <f>D42-D58</f>
        <v>0</v>
      </c>
      <c r="E59" s="170"/>
    </row>
    <row r="60" spans="1:5" ht="15.2" customHeight="1" thickBot="1">
      <c r="A60" s="350" t="s">
        <v>512</v>
      </c>
      <c r="B60" s="351"/>
      <c r="C60" s="339"/>
      <c r="D60" s="339"/>
      <c r="E60" s="338"/>
    </row>
    <row r="61" spans="1:5" ht="14.45" customHeight="1" thickBot="1">
      <c r="A61" s="352" t="s">
        <v>513</v>
      </c>
      <c r="B61" s="353"/>
      <c r="C61" s="339"/>
      <c r="D61" s="339"/>
      <c r="E61" s="338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G31"/>
  <sheetViews>
    <sheetView zoomScale="120" zoomScaleNormal="120" workbookViewId="0">
      <selection activeCell="E19" sqref="E19"/>
    </sheetView>
  </sheetViews>
  <sheetFormatPr defaultRowHeight="12.75"/>
  <cols>
    <col min="1" max="1" width="43.33203125" customWidth="1"/>
    <col min="2" max="2" width="49.1640625" customWidth="1"/>
    <col min="3" max="3" width="18.6640625" customWidth="1"/>
    <col min="4" max="4" width="4.83203125" bestFit="1" customWidth="1"/>
    <col min="5" max="5" width="19.33203125" customWidth="1"/>
    <col min="7" max="7" width="9.83203125" customWidth="1"/>
  </cols>
  <sheetData>
    <row r="2" spans="1:7" ht="15.75">
      <c r="A2" s="476" t="s">
        <v>521</v>
      </c>
      <c r="B2" s="476"/>
      <c r="C2" s="476"/>
      <c r="D2" s="476"/>
      <c r="E2" s="476"/>
      <c r="F2" s="476"/>
    </row>
    <row r="3" spans="1:7" ht="15.75">
      <c r="A3" s="473" t="s">
        <v>602</v>
      </c>
      <c r="B3" s="473"/>
      <c r="C3" s="473"/>
      <c r="D3" s="473"/>
      <c r="E3" s="473"/>
      <c r="F3" s="473"/>
      <c r="G3" s="473"/>
    </row>
    <row r="6" spans="1:7" ht="15">
      <c r="A6" s="398"/>
    </row>
    <row r="7" spans="1:7">
      <c r="A7" s="454" t="s">
        <v>556</v>
      </c>
      <c r="B7" s="470" t="s">
        <v>607</v>
      </c>
      <c r="C7" s="467"/>
      <c r="D7" t="s">
        <v>608</v>
      </c>
      <c r="F7" s="453"/>
    </row>
    <row r="8" spans="1:7">
      <c r="C8" s="465" t="str">
        <f>IF(C7="I. negyedévi","I. negyedéves",IF(C7="I. félévi","I. féléves","III. negyedéves"))</f>
        <v>III. negyedéves</v>
      </c>
    </row>
    <row r="11" spans="1:7" ht="15.75">
      <c r="A11" s="474" t="s">
        <v>600</v>
      </c>
      <c r="B11" s="475"/>
      <c r="C11" s="475"/>
      <c r="D11" s="475"/>
      <c r="E11" s="475"/>
      <c r="F11" s="475"/>
      <c r="G11" s="475"/>
    </row>
    <row r="13" spans="1:7" ht="14.25">
      <c r="A13" s="399" t="s">
        <v>522</v>
      </c>
      <c r="B13" s="461" t="s">
        <v>523</v>
      </c>
    </row>
    <row r="14" spans="1:7" ht="14.25">
      <c r="B14" s="462"/>
    </row>
    <row r="15" spans="1:7" ht="14.25">
      <c r="A15" s="399" t="s">
        <v>524</v>
      </c>
      <c r="B15" s="461" t="s">
        <v>525</v>
      </c>
    </row>
    <row r="16" spans="1:7" ht="14.25">
      <c r="B16" s="462"/>
    </row>
    <row r="17" spans="1:2" ht="14.25">
      <c r="A17" s="399" t="s">
        <v>526</v>
      </c>
      <c r="B17" s="461" t="s">
        <v>527</v>
      </c>
    </row>
    <row r="18" spans="1:2" ht="14.25">
      <c r="B18" s="462"/>
    </row>
    <row r="19" spans="1:2" ht="14.25">
      <c r="A19" s="399" t="s">
        <v>528</v>
      </c>
      <c r="B19" s="461" t="s">
        <v>529</v>
      </c>
    </row>
    <row r="20" spans="1:2" ht="14.25">
      <c r="B20" s="462"/>
    </row>
    <row r="21" spans="1:2" ht="14.25">
      <c r="A21" s="399" t="s">
        <v>530</v>
      </c>
      <c r="B21" s="461" t="s">
        <v>597</v>
      </c>
    </row>
    <row r="22" spans="1:2" ht="14.25">
      <c r="B22" s="462"/>
    </row>
    <row r="23" spans="1:2" ht="14.25">
      <c r="A23" s="399" t="s">
        <v>531</v>
      </c>
      <c r="B23" s="461" t="s">
        <v>532</v>
      </c>
    </row>
    <row r="24" spans="1:2" ht="14.25">
      <c r="B24" s="462"/>
    </row>
    <row r="25" spans="1:2" ht="14.25">
      <c r="A25" s="399" t="s">
        <v>533</v>
      </c>
      <c r="B25" s="461"/>
    </row>
    <row r="26" spans="1:2" ht="14.25">
      <c r="B26" s="462"/>
    </row>
    <row r="27" spans="1:2" ht="14.25">
      <c r="A27" s="399" t="s">
        <v>534</v>
      </c>
      <c r="B27" s="461" t="s">
        <v>535</v>
      </c>
    </row>
    <row r="28" spans="1:2" ht="14.25">
      <c r="B28" s="462"/>
    </row>
    <row r="29" spans="1:2" ht="14.25">
      <c r="A29" s="399" t="s">
        <v>534</v>
      </c>
      <c r="B29" s="461" t="s">
        <v>536</v>
      </c>
    </row>
    <row r="30" spans="1:2" ht="14.25">
      <c r="B30" s="462"/>
    </row>
    <row r="31" spans="1:2" ht="14.25">
      <c r="A31" s="399" t="s">
        <v>537</v>
      </c>
      <c r="B31" s="461" t="s">
        <v>538</v>
      </c>
    </row>
  </sheetData>
  <mergeCells count="3">
    <mergeCell ref="A3:G3"/>
    <mergeCell ref="A11:G11"/>
    <mergeCell ref="A2:F2"/>
  </mergeCells>
  <phoneticPr fontId="24" type="noConversion"/>
  <dataValidations count="1">
    <dataValidation type="list" allowBlank="1" showInputMessage="1" showErrorMessage="1" sqref="C7">
      <formula1>"I. félévi, III. negyedévi"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zoomScale="120" zoomScaleNormal="120" workbookViewId="0">
      <selection activeCell="B36" sqref="B36"/>
    </sheetView>
  </sheetViews>
  <sheetFormatPr defaultRowHeight="12.75"/>
  <cols>
    <col min="1" max="1" width="13" style="102" customWidth="1"/>
    <col min="2" max="2" width="59" style="103" customWidth="1"/>
    <col min="3" max="5" width="15.83203125" style="103" customWidth="1"/>
    <col min="6" max="16384" width="9.33203125" style="103"/>
  </cols>
  <sheetData>
    <row r="1" spans="1:5" s="93" customFormat="1" ht="21.2" customHeight="1" thickBot="1">
      <c r="A1" s="408"/>
      <c r="B1" s="534" t="str">
        <f>CONCATENATE("6.2.2. melléklet ",IB_ALAPADATOK!A7," ",IB_ALAPADATOK!B7," ",IB_ALAPADATOK!C7," ",IB_ALAPADATOK!D7)</f>
        <v xml:space="preserve">6.2.2. melléklet a 7/2019.(X.09.)  önkormányzati rendelethez </v>
      </c>
      <c r="C1" s="535"/>
      <c r="D1" s="535"/>
      <c r="E1" s="535"/>
    </row>
    <row r="2" spans="1:5" s="233" customFormat="1" ht="24.75" thickBot="1">
      <c r="A2" s="409" t="s">
        <v>479</v>
      </c>
      <c r="B2" s="536" t="str">
        <f>CONCATENATE('9.2.1.sz.mell'!B2:D2)</f>
        <v>Borsodnádasdi Polgármesteri  Hivatal</v>
      </c>
      <c r="C2" s="537"/>
      <c r="D2" s="538"/>
      <c r="E2" s="410" t="s">
        <v>46</v>
      </c>
    </row>
    <row r="3" spans="1:5" s="233" customFormat="1" ht="24.75" thickBot="1">
      <c r="A3" s="409" t="s">
        <v>141</v>
      </c>
      <c r="B3" s="536" t="s">
        <v>339</v>
      </c>
      <c r="C3" s="537"/>
      <c r="D3" s="538"/>
      <c r="E3" s="410" t="s">
        <v>47</v>
      </c>
    </row>
    <row r="4" spans="1:5" s="234" customFormat="1" ht="15.95" customHeight="1" thickBot="1">
      <c r="A4" s="411"/>
      <c r="B4" s="411"/>
      <c r="C4" s="412"/>
      <c r="D4" s="413"/>
      <c r="E4" s="412" t="str">
        <f>'9.2.1.sz.mell'!E4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66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135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135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135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135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135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135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293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135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137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137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138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135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135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135"/>
      <c r="E23" s="287"/>
    </row>
    <row r="24" spans="1:5" s="236" customFormat="1" ht="12" customHeight="1" thickBot="1">
      <c r="A24" s="229" t="s">
        <v>76</v>
      </c>
      <c r="B24" s="6" t="s">
        <v>426</v>
      </c>
      <c r="C24" s="135"/>
      <c r="D24" s="135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4"/>
      <c r="E25" s="165"/>
    </row>
    <row r="26" spans="1:5" s="236" customFormat="1" ht="12" customHeight="1" thickBot="1">
      <c r="A26" s="89" t="s">
        <v>12</v>
      </c>
      <c r="B26" s="59" t="s">
        <v>427</v>
      </c>
      <c r="C26" s="138">
        <f>+C27+C28+C29</f>
        <v>0</v>
      </c>
      <c r="D26" s="138">
        <f>+D27+D28+D29</f>
        <v>0</v>
      </c>
      <c r="E26" s="166">
        <f>+E27+E28+E29</f>
        <v>0</v>
      </c>
    </row>
    <row r="27" spans="1:5" s="236" customFormat="1" ht="12" customHeight="1">
      <c r="A27" s="230" t="s">
        <v>190</v>
      </c>
      <c r="B27" s="231" t="s">
        <v>186</v>
      </c>
      <c r="C27" s="294"/>
      <c r="D27" s="294"/>
      <c r="E27" s="292"/>
    </row>
    <row r="28" spans="1:5" s="236" customFormat="1" ht="12" customHeight="1">
      <c r="A28" s="230" t="s">
        <v>191</v>
      </c>
      <c r="B28" s="231" t="s">
        <v>323</v>
      </c>
      <c r="C28" s="135"/>
      <c r="D28" s="135"/>
      <c r="E28" s="287"/>
    </row>
    <row r="29" spans="1:5" s="236" customFormat="1" ht="12" customHeight="1">
      <c r="A29" s="230" t="s">
        <v>192</v>
      </c>
      <c r="B29" s="232" t="s">
        <v>326</v>
      </c>
      <c r="C29" s="135"/>
      <c r="D29" s="135"/>
      <c r="E29" s="287"/>
    </row>
    <row r="30" spans="1:5" s="236" customFormat="1" ht="12" customHeight="1" thickBot="1">
      <c r="A30" s="229" t="s">
        <v>193</v>
      </c>
      <c r="B30" s="64" t="s">
        <v>428</v>
      </c>
      <c r="C30" s="50"/>
      <c r="D30" s="50"/>
      <c r="E30" s="343"/>
    </row>
    <row r="31" spans="1:5" s="236" customFormat="1" ht="12" customHeight="1" thickBot="1">
      <c r="A31" s="89" t="s">
        <v>13</v>
      </c>
      <c r="B31" s="59" t="s">
        <v>327</v>
      </c>
      <c r="C31" s="138">
        <f>+C32+C33+C34</f>
        <v>0</v>
      </c>
      <c r="D31" s="138">
        <f>+D32+D33+D34</f>
        <v>0</v>
      </c>
      <c r="E31" s="166">
        <f>+E32+E33+E34</f>
        <v>0</v>
      </c>
    </row>
    <row r="32" spans="1:5" s="236" customFormat="1" ht="12" customHeight="1">
      <c r="A32" s="230" t="s">
        <v>60</v>
      </c>
      <c r="B32" s="231" t="s">
        <v>212</v>
      </c>
      <c r="C32" s="294"/>
      <c r="D32" s="294"/>
      <c r="E32" s="292"/>
    </row>
    <row r="33" spans="1:5" s="236" customFormat="1" ht="12" customHeight="1">
      <c r="A33" s="230" t="s">
        <v>61</v>
      </c>
      <c r="B33" s="232" t="s">
        <v>213</v>
      </c>
      <c r="C33" s="139"/>
      <c r="D33" s="139"/>
      <c r="E33" s="289"/>
    </row>
    <row r="34" spans="1:5" s="236" customFormat="1" ht="12" customHeight="1" thickBot="1">
      <c r="A34" s="229" t="s">
        <v>62</v>
      </c>
      <c r="B34" s="64" t="s">
        <v>214</v>
      </c>
      <c r="C34" s="50"/>
      <c r="D34" s="50"/>
      <c r="E34" s="343"/>
    </row>
    <row r="35" spans="1:5" s="171" customFormat="1" ht="12" customHeight="1" thickBot="1">
      <c r="A35" s="89" t="s">
        <v>14</v>
      </c>
      <c r="B35" s="59" t="s">
        <v>297</v>
      </c>
      <c r="C35" s="344"/>
      <c r="D35" s="344"/>
      <c r="E35" s="165"/>
    </row>
    <row r="36" spans="1:5" s="171" customFormat="1" ht="12" customHeight="1" thickBot="1">
      <c r="A36" s="89" t="s">
        <v>15</v>
      </c>
      <c r="B36" s="59" t="s">
        <v>328</v>
      </c>
      <c r="C36" s="344"/>
      <c r="D36" s="344"/>
      <c r="E36" s="165"/>
    </row>
    <row r="37" spans="1:5" s="171" customFormat="1" ht="12" customHeight="1" thickBot="1">
      <c r="A37" s="84" t="s">
        <v>16</v>
      </c>
      <c r="B37" s="59" t="s">
        <v>329</v>
      </c>
      <c r="C37" s="138">
        <f>+C8+C20+C25+C26+C31+C35+C36</f>
        <v>0</v>
      </c>
      <c r="D37" s="138">
        <f>+D8+D20+D25+D26+D31+D35+D36</f>
        <v>0</v>
      </c>
      <c r="E37" s="166">
        <f>+E8+E20+E25+E26+E31+E35+E36</f>
        <v>0</v>
      </c>
    </row>
    <row r="38" spans="1:5" s="171" customFormat="1" ht="12" customHeight="1" thickBot="1">
      <c r="A38" s="95" t="s">
        <v>17</v>
      </c>
      <c r="B38" s="59" t="s">
        <v>330</v>
      </c>
      <c r="C38" s="138">
        <f>+C39+C40+C41</f>
        <v>0</v>
      </c>
      <c r="D38" s="138">
        <f>+D39+D40+D41</f>
        <v>0</v>
      </c>
      <c r="E38" s="166">
        <f>+E39+E40+E41</f>
        <v>0</v>
      </c>
    </row>
    <row r="39" spans="1:5" s="171" customFormat="1" ht="12" customHeight="1">
      <c r="A39" s="230" t="s">
        <v>331</v>
      </c>
      <c r="B39" s="231" t="s">
        <v>163</v>
      </c>
      <c r="C39" s="294"/>
      <c r="D39" s="294"/>
      <c r="E39" s="292"/>
    </row>
    <row r="40" spans="1:5" s="171" customFormat="1" ht="12" customHeight="1">
      <c r="A40" s="230" t="s">
        <v>332</v>
      </c>
      <c r="B40" s="232" t="s">
        <v>2</v>
      </c>
      <c r="C40" s="139"/>
      <c r="D40" s="139"/>
      <c r="E40" s="289"/>
    </row>
    <row r="41" spans="1:5" s="236" customFormat="1" ht="12" customHeight="1" thickBot="1">
      <c r="A41" s="229" t="s">
        <v>333</v>
      </c>
      <c r="B41" s="64" t="s">
        <v>334</v>
      </c>
      <c r="C41" s="50"/>
      <c r="D41" s="50"/>
      <c r="E41" s="343"/>
    </row>
    <row r="42" spans="1:5" s="236" customFormat="1" ht="15.2" customHeight="1" thickBot="1">
      <c r="A42" s="95" t="s">
        <v>18</v>
      </c>
      <c r="B42" s="96" t="s">
        <v>335</v>
      </c>
      <c r="C42" s="345">
        <f>+C37+C38</f>
        <v>0</v>
      </c>
      <c r="D42" s="345">
        <f>+D37+D38</f>
        <v>0</v>
      </c>
      <c r="E42" s="169">
        <f>+E37+E38</f>
        <v>0</v>
      </c>
    </row>
    <row r="43" spans="1:5" s="236" customFormat="1" ht="15.2" customHeight="1">
      <c r="A43" s="97"/>
      <c r="B43" s="98"/>
      <c r="C43" s="167"/>
    </row>
    <row r="44" spans="1:5" ht="13.5" thickBot="1">
      <c r="A44" s="99"/>
      <c r="B44" s="100"/>
      <c r="C44" s="168"/>
    </row>
    <row r="45" spans="1:5" s="235" customFormat="1" ht="16.5" customHeight="1" thickBot="1">
      <c r="A45" s="530" t="s">
        <v>44</v>
      </c>
      <c r="B45" s="531"/>
      <c r="C45" s="531"/>
      <c r="D45" s="531"/>
      <c r="E45" s="532"/>
    </row>
    <row r="46" spans="1:5" s="237" customFormat="1" ht="12" customHeight="1" thickBot="1">
      <c r="A46" s="89" t="s">
        <v>9</v>
      </c>
      <c r="B46" s="59" t="s">
        <v>336</v>
      </c>
      <c r="C46" s="138">
        <f>SUM(C47:C51)</f>
        <v>0</v>
      </c>
      <c r="D46" s="138">
        <f>SUM(D47:D51)</f>
        <v>0</v>
      </c>
      <c r="E46" s="166">
        <f>SUM(E47:E51)</f>
        <v>0</v>
      </c>
    </row>
    <row r="47" spans="1:5" ht="12" customHeight="1">
      <c r="A47" s="229" t="s">
        <v>67</v>
      </c>
      <c r="B47" s="7" t="s">
        <v>38</v>
      </c>
      <c r="C47" s="294"/>
      <c r="D47" s="294"/>
      <c r="E47" s="292"/>
    </row>
    <row r="48" spans="1:5" ht="12" customHeight="1">
      <c r="A48" s="229" t="s">
        <v>68</v>
      </c>
      <c r="B48" s="6" t="s">
        <v>128</v>
      </c>
      <c r="C48" s="49"/>
      <c r="D48" s="49"/>
      <c r="E48" s="290"/>
    </row>
    <row r="49" spans="1:5" ht="12" customHeight="1">
      <c r="A49" s="229" t="s">
        <v>69</v>
      </c>
      <c r="B49" s="6" t="s">
        <v>95</v>
      </c>
      <c r="C49" s="49"/>
      <c r="D49" s="49"/>
      <c r="E49" s="290"/>
    </row>
    <row r="50" spans="1:5" ht="12" customHeight="1">
      <c r="A50" s="229" t="s">
        <v>70</v>
      </c>
      <c r="B50" s="6" t="s">
        <v>129</v>
      </c>
      <c r="C50" s="49"/>
      <c r="D50" s="49"/>
      <c r="E50" s="290"/>
    </row>
    <row r="51" spans="1:5" ht="12" customHeight="1" thickBot="1">
      <c r="A51" s="229" t="s">
        <v>102</v>
      </c>
      <c r="B51" s="6" t="s">
        <v>130</v>
      </c>
      <c r="C51" s="49"/>
      <c r="D51" s="49"/>
      <c r="E51" s="290"/>
    </row>
    <row r="52" spans="1:5" ht="12" customHeight="1" thickBot="1">
      <c r="A52" s="89" t="s">
        <v>10</v>
      </c>
      <c r="B52" s="59" t="s">
        <v>337</v>
      </c>
      <c r="C52" s="138">
        <f>SUM(C53:C55)</f>
        <v>0</v>
      </c>
      <c r="D52" s="138">
        <f>SUM(D53:D55)</f>
        <v>0</v>
      </c>
      <c r="E52" s="166">
        <f>SUM(E53:E55)</f>
        <v>0</v>
      </c>
    </row>
    <row r="53" spans="1:5" s="237" customFormat="1" ht="12" customHeight="1">
      <c r="A53" s="229" t="s">
        <v>73</v>
      </c>
      <c r="B53" s="7" t="s">
        <v>157</v>
      </c>
      <c r="C53" s="294"/>
      <c r="D53" s="294"/>
      <c r="E53" s="292"/>
    </row>
    <row r="54" spans="1:5" ht="12" customHeight="1">
      <c r="A54" s="229" t="s">
        <v>74</v>
      </c>
      <c r="B54" s="6" t="s">
        <v>132</v>
      </c>
      <c r="C54" s="49"/>
      <c r="D54" s="49"/>
      <c r="E54" s="290"/>
    </row>
    <row r="55" spans="1:5" ht="12" customHeight="1">
      <c r="A55" s="229" t="s">
        <v>75</v>
      </c>
      <c r="B55" s="6" t="s">
        <v>45</v>
      </c>
      <c r="C55" s="49"/>
      <c r="D55" s="49"/>
      <c r="E55" s="290"/>
    </row>
    <row r="56" spans="1:5" ht="12" customHeight="1" thickBot="1">
      <c r="A56" s="229" t="s">
        <v>76</v>
      </c>
      <c r="B56" s="6" t="s">
        <v>429</v>
      </c>
      <c r="C56" s="49"/>
      <c r="D56" s="49"/>
      <c r="E56" s="290"/>
    </row>
    <row r="57" spans="1:5" ht="12" customHeight="1" thickBot="1">
      <c r="A57" s="89" t="s">
        <v>11</v>
      </c>
      <c r="B57" s="59" t="s">
        <v>5</v>
      </c>
      <c r="C57" s="344"/>
      <c r="D57" s="344"/>
      <c r="E57" s="165"/>
    </row>
    <row r="58" spans="1:5" ht="15.2" customHeight="1" thickBot="1">
      <c r="A58" s="89" t="s">
        <v>12</v>
      </c>
      <c r="B58" s="101" t="s">
        <v>433</v>
      </c>
      <c r="C58" s="345">
        <f>+C46+C52+C57</f>
        <v>0</v>
      </c>
      <c r="D58" s="345">
        <f>+D46+D52+D57</f>
        <v>0</v>
      </c>
      <c r="E58" s="169">
        <f>+E46+E52+E57</f>
        <v>0</v>
      </c>
    </row>
    <row r="59" spans="1:5" ht="13.5" thickBot="1">
      <c r="C59" s="464">
        <f>C42-C58</f>
        <v>0</v>
      </c>
      <c r="D59" s="464">
        <f>D42-D58</f>
        <v>0</v>
      </c>
      <c r="E59" s="170"/>
    </row>
    <row r="60" spans="1:5" ht="15.2" customHeight="1" thickBot="1">
      <c r="A60" s="350" t="s">
        <v>512</v>
      </c>
      <c r="B60" s="351"/>
      <c r="C60" s="339"/>
      <c r="D60" s="339"/>
      <c r="E60" s="338"/>
    </row>
    <row r="61" spans="1:5" ht="14.45" customHeight="1" thickBot="1">
      <c r="A61" s="352" t="s">
        <v>513</v>
      </c>
      <c r="B61" s="353"/>
      <c r="C61" s="339"/>
      <c r="D61" s="339"/>
      <c r="E61" s="338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0000"/>
  </sheetPr>
  <dimension ref="A1:E61"/>
  <sheetViews>
    <sheetView zoomScale="120" zoomScaleNormal="120" workbookViewId="0">
      <selection activeCell="B2" sqref="B2:D2"/>
    </sheetView>
  </sheetViews>
  <sheetFormatPr defaultRowHeight="12.75"/>
  <cols>
    <col min="1" max="1" width="13" style="102" customWidth="1"/>
    <col min="2" max="2" width="59" style="103" customWidth="1"/>
    <col min="3" max="5" width="15.83203125" style="103" customWidth="1"/>
    <col min="6" max="16384" width="9.33203125" style="103"/>
  </cols>
  <sheetData>
    <row r="1" spans="1:5" s="93" customFormat="1" ht="21.2" customHeight="1" thickBot="1">
      <c r="A1" s="408"/>
      <c r="B1" s="541" t="str">
        <f>CONCATENATE("9.2.3. melléklet ",IB_ALAPADATOK!A7," ",IB_ALAPADATOK!B7," ",IB_ALAPADATOK!C7," ",IB_ALAPADATOK!D7)</f>
        <v xml:space="preserve">9.2.3. melléklet a 7/2019.(X.09.)  önkormányzati rendelethez </v>
      </c>
      <c r="C1" s="542"/>
      <c r="D1" s="542"/>
      <c r="E1" s="542"/>
    </row>
    <row r="2" spans="1:5" s="233" customFormat="1" ht="24.75" thickBot="1">
      <c r="A2" s="409" t="s">
        <v>479</v>
      </c>
      <c r="B2" s="536" t="str">
        <f>CONCATENATE(IB_6.2.2.sz.mell!B2:D2)</f>
        <v>Borsodnádasdi Polgármesteri  Hivatal</v>
      </c>
      <c r="C2" s="537"/>
      <c r="D2" s="538"/>
      <c r="E2" s="410" t="s">
        <v>46</v>
      </c>
    </row>
    <row r="3" spans="1:5" s="233" customFormat="1" ht="24.75" thickBot="1">
      <c r="A3" s="409" t="s">
        <v>141</v>
      </c>
      <c r="B3" s="536" t="s">
        <v>434</v>
      </c>
      <c r="C3" s="537"/>
      <c r="D3" s="538"/>
      <c r="E3" s="410" t="s">
        <v>348</v>
      </c>
    </row>
    <row r="4" spans="1:5" s="234" customFormat="1" ht="15.95" customHeight="1" thickBot="1">
      <c r="A4" s="411"/>
      <c r="B4" s="411"/>
      <c r="C4" s="412"/>
      <c r="D4" s="413"/>
      <c r="E4" s="412" t="str">
        <f>IB_6.2.2.sz.mell!E4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40000</v>
      </c>
      <c r="D8" s="138">
        <f>SUM(D9:D19)</f>
        <v>51002</v>
      </c>
      <c r="E8" s="166">
        <f>SUM(E9:E19)</f>
        <v>14156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>
        <v>31500</v>
      </c>
      <c r="D10" s="135">
        <v>26500</v>
      </c>
      <c r="E10" s="287">
        <v>6008</v>
      </c>
    </row>
    <row r="11" spans="1:5" s="171" customFormat="1" ht="12" customHeight="1">
      <c r="A11" s="229" t="s">
        <v>69</v>
      </c>
      <c r="B11" s="6" t="s">
        <v>200</v>
      </c>
      <c r="C11" s="135"/>
      <c r="D11" s="135">
        <v>10000</v>
      </c>
      <c r="E11" s="287">
        <v>4740</v>
      </c>
    </row>
    <row r="12" spans="1:5" s="171" customFormat="1" ht="12" customHeight="1">
      <c r="A12" s="229" t="s">
        <v>70</v>
      </c>
      <c r="B12" s="6" t="s">
        <v>201</v>
      </c>
      <c r="C12" s="135"/>
      <c r="D12" s="135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135"/>
      <c r="E13" s="287"/>
    </row>
    <row r="14" spans="1:5" s="171" customFormat="1" ht="12" customHeight="1">
      <c r="A14" s="229" t="s">
        <v>71</v>
      </c>
      <c r="B14" s="6" t="s">
        <v>320</v>
      </c>
      <c r="C14" s="135">
        <v>8500</v>
      </c>
      <c r="D14" s="135">
        <v>8500</v>
      </c>
      <c r="E14" s="287">
        <v>2902</v>
      </c>
    </row>
    <row r="15" spans="1:5" s="171" customFormat="1" ht="12" customHeight="1">
      <c r="A15" s="229" t="s">
        <v>72</v>
      </c>
      <c r="B15" s="5" t="s">
        <v>321</v>
      </c>
      <c r="C15" s="135"/>
      <c r="D15" s="135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293">
        <v>1002</v>
      </c>
      <c r="E16" s="291">
        <v>16</v>
      </c>
    </row>
    <row r="17" spans="1:5" s="236" customFormat="1" ht="12" customHeight="1">
      <c r="A17" s="229" t="s">
        <v>81</v>
      </c>
      <c r="B17" s="6" t="s">
        <v>206</v>
      </c>
      <c r="C17" s="135"/>
      <c r="D17" s="135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137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137">
        <v>5000</v>
      </c>
      <c r="E19" s="288">
        <v>490</v>
      </c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138">
        <f>SUM(D21:D23)</f>
        <v>2749490</v>
      </c>
      <c r="E20" s="166">
        <f>SUM(E21:E23)</f>
        <v>2655668</v>
      </c>
    </row>
    <row r="21" spans="1:5" s="236" customFormat="1" ht="12" customHeight="1">
      <c r="A21" s="229" t="s">
        <v>73</v>
      </c>
      <c r="B21" s="7" t="s">
        <v>181</v>
      </c>
      <c r="C21" s="135"/>
      <c r="D21" s="135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135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135">
        <v>2749490</v>
      </c>
      <c r="E23" s="287">
        <v>2655668</v>
      </c>
    </row>
    <row r="24" spans="1:5" s="236" customFormat="1" ht="12" customHeight="1" thickBot="1">
      <c r="A24" s="229" t="s">
        <v>76</v>
      </c>
      <c r="B24" s="6" t="s">
        <v>426</v>
      </c>
      <c r="C24" s="135"/>
      <c r="D24" s="135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4">
        <v>5000</v>
      </c>
      <c r="E25" s="165">
        <v>10000</v>
      </c>
    </row>
    <row r="26" spans="1:5" s="236" customFormat="1" ht="12" customHeight="1" thickBot="1">
      <c r="A26" s="89" t="s">
        <v>12</v>
      </c>
      <c r="B26" s="59" t="s">
        <v>427</v>
      </c>
      <c r="C26" s="138">
        <f>+C27+C28+C29</f>
        <v>0</v>
      </c>
      <c r="D26" s="138">
        <f>+D27+D28+D29</f>
        <v>0</v>
      </c>
      <c r="E26" s="166">
        <f>+E27+E28+E29</f>
        <v>0</v>
      </c>
    </row>
    <row r="27" spans="1:5" s="236" customFormat="1" ht="12" customHeight="1">
      <c r="A27" s="230" t="s">
        <v>190</v>
      </c>
      <c r="B27" s="231" t="s">
        <v>186</v>
      </c>
      <c r="C27" s="294"/>
      <c r="D27" s="294"/>
      <c r="E27" s="292"/>
    </row>
    <row r="28" spans="1:5" s="236" customFormat="1" ht="12" customHeight="1">
      <c r="A28" s="230" t="s">
        <v>191</v>
      </c>
      <c r="B28" s="231" t="s">
        <v>323</v>
      </c>
      <c r="C28" s="135"/>
      <c r="D28" s="135"/>
      <c r="E28" s="287"/>
    </row>
    <row r="29" spans="1:5" s="236" customFormat="1" ht="12" customHeight="1">
      <c r="A29" s="230" t="s">
        <v>192</v>
      </c>
      <c r="B29" s="232" t="s">
        <v>326</v>
      </c>
      <c r="C29" s="135"/>
      <c r="D29" s="135"/>
      <c r="E29" s="287"/>
    </row>
    <row r="30" spans="1:5" s="236" customFormat="1" ht="12" customHeight="1" thickBot="1">
      <c r="A30" s="229" t="s">
        <v>193</v>
      </c>
      <c r="B30" s="64" t="s">
        <v>428</v>
      </c>
      <c r="C30" s="50"/>
      <c r="D30" s="50"/>
      <c r="E30" s="343"/>
    </row>
    <row r="31" spans="1:5" s="236" customFormat="1" ht="12" customHeight="1" thickBot="1">
      <c r="A31" s="89" t="s">
        <v>13</v>
      </c>
      <c r="B31" s="59" t="s">
        <v>327</v>
      </c>
      <c r="C31" s="138">
        <f>+C32+C33+C34</f>
        <v>0</v>
      </c>
      <c r="D31" s="138">
        <f>+D32+D33+D34</f>
        <v>0</v>
      </c>
      <c r="E31" s="166">
        <f>+E32+E33+E34</f>
        <v>0</v>
      </c>
    </row>
    <row r="32" spans="1:5" s="236" customFormat="1" ht="12" customHeight="1">
      <c r="A32" s="230" t="s">
        <v>60</v>
      </c>
      <c r="B32" s="231" t="s">
        <v>212</v>
      </c>
      <c r="C32" s="294"/>
      <c r="D32" s="294"/>
      <c r="E32" s="292"/>
    </row>
    <row r="33" spans="1:5" s="236" customFormat="1" ht="12" customHeight="1">
      <c r="A33" s="230" t="s">
        <v>61</v>
      </c>
      <c r="B33" s="232" t="s">
        <v>213</v>
      </c>
      <c r="C33" s="139"/>
      <c r="D33" s="139"/>
      <c r="E33" s="289"/>
    </row>
    <row r="34" spans="1:5" s="236" customFormat="1" ht="12" customHeight="1" thickBot="1">
      <c r="A34" s="229" t="s">
        <v>62</v>
      </c>
      <c r="B34" s="64" t="s">
        <v>214</v>
      </c>
      <c r="C34" s="50"/>
      <c r="D34" s="50"/>
      <c r="E34" s="343"/>
    </row>
    <row r="35" spans="1:5" s="171" customFormat="1" ht="12" customHeight="1" thickBot="1">
      <c r="A35" s="89" t="s">
        <v>14</v>
      </c>
      <c r="B35" s="59" t="s">
        <v>297</v>
      </c>
      <c r="C35" s="344"/>
      <c r="D35" s="344"/>
      <c r="E35" s="165"/>
    </row>
    <row r="36" spans="1:5" s="171" customFormat="1" ht="12" customHeight="1" thickBot="1">
      <c r="A36" s="89" t="s">
        <v>15</v>
      </c>
      <c r="B36" s="59" t="s">
        <v>328</v>
      </c>
      <c r="C36" s="344"/>
      <c r="D36" s="344"/>
      <c r="E36" s="165"/>
    </row>
    <row r="37" spans="1:5" s="171" customFormat="1" ht="12" customHeight="1" thickBot="1">
      <c r="A37" s="84" t="s">
        <v>16</v>
      </c>
      <c r="B37" s="59" t="s">
        <v>329</v>
      </c>
      <c r="C37" s="138">
        <f>+C8+C20+C25+C26+C31+C35+C36</f>
        <v>40000</v>
      </c>
      <c r="D37" s="138">
        <f>+D8+D20+D25+D26+D31+D35+D36</f>
        <v>2805492</v>
      </c>
      <c r="E37" s="166">
        <f>+E8+E20+E25+E26+E31+E35+E36</f>
        <v>2679824</v>
      </c>
    </row>
    <row r="38" spans="1:5" s="171" customFormat="1" ht="12" customHeight="1" thickBot="1">
      <c r="A38" s="95" t="s">
        <v>17</v>
      </c>
      <c r="B38" s="59" t="s">
        <v>330</v>
      </c>
      <c r="C38" s="138">
        <f>+C39+C40+C41</f>
        <v>89343000</v>
      </c>
      <c r="D38" s="138">
        <f>+D39+D40+D41</f>
        <v>89723614</v>
      </c>
      <c r="E38" s="166">
        <f>+E39+E40+E41</f>
        <v>38449843</v>
      </c>
    </row>
    <row r="39" spans="1:5" s="171" customFormat="1" ht="12" customHeight="1">
      <c r="A39" s="230" t="s">
        <v>331</v>
      </c>
      <c r="B39" s="231" t="s">
        <v>163</v>
      </c>
      <c r="C39" s="294"/>
      <c r="D39" s="294">
        <v>380614</v>
      </c>
      <c r="E39" s="292">
        <v>380614</v>
      </c>
    </row>
    <row r="40" spans="1:5" s="171" customFormat="1" ht="12" customHeight="1">
      <c r="A40" s="230" t="s">
        <v>332</v>
      </c>
      <c r="B40" s="232" t="s">
        <v>2</v>
      </c>
      <c r="C40" s="139"/>
      <c r="D40" s="139"/>
      <c r="E40" s="289"/>
    </row>
    <row r="41" spans="1:5" s="236" customFormat="1" ht="12" customHeight="1" thickBot="1">
      <c r="A41" s="229" t="s">
        <v>333</v>
      </c>
      <c r="B41" s="64" t="s">
        <v>334</v>
      </c>
      <c r="C41" s="50">
        <v>89343000</v>
      </c>
      <c r="D41" s="50">
        <v>89343000</v>
      </c>
      <c r="E41" s="343">
        <v>38069229</v>
      </c>
    </row>
    <row r="42" spans="1:5" s="236" customFormat="1" ht="15.2" customHeight="1" thickBot="1">
      <c r="A42" s="95" t="s">
        <v>18</v>
      </c>
      <c r="B42" s="96" t="s">
        <v>335</v>
      </c>
      <c r="C42" s="345">
        <f>+C37+C38</f>
        <v>89383000</v>
      </c>
      <c r="D42" s="345">
        <f>+D37+D38</f>
        <v>92529106</v>
      </c>
      <c r="E42" s="169">
        <f>+E37+E38</f>
        <v>41129667</v>
      </c>
    </row>
    <row r="43" spans="1:5" s="236" customFormat="1" ht="15.2" customHeight="1">
      <c r="A43" s="97"/>
      <c r="B43" s="98"/>
      <c r="C43" s="167"/>
    </row>
    <row r="44" spans="1:5" ht="13.5" thickBot="1">
      <c r="A44" s="99"/>
      <c r="B44" s="100"/>
      <c r="C44" s="168"/>
    </row>
    <row r="45" spans="1:5" s="235" customFormat="1" ht="16.5" customHeight="1" thickBot="1">
      <c r="A45" s="530" t="s">
        <v>44</v>
      </c>
      <c r="B45" s="531"/>
      <c r="C45" s="531"/>
      <c r="D45" s="531"/>
      <c r="E45" s="532"/>
    </row>
    <row r="46" spans="1:5" s="237" customFormat="1" ht="12" customHeight="1" thickBot="1">
      <c r="A46" s="89" t="s">
        <v>9</v>
      </c>
      <c r="B46" s="59" t="s">
        <v>336</v>
      </c>
      <c r="C46" s="138">
        <f>SUM(C47:C51)</f>
        <v>88883000</v>
      </c>
      <c r="D46" s="138">
        <f>SUM(D47:D51)</f>
        <v>91388146</v>
      </c>
      <c r="E46" s="166">
        <f>SUM(E47:E51)</f>
        <v>38924904</v>
      </c>
    </row>
    <row r="47" spans="1:5" ht="12" customHeight="1">
      <c r="A47" s="229" t="s">
        <v>67</v>
      </c>
      <c r="B47" s="7" t="s">
        <v>38</v>
      </c>
      <c r="C47" s="294">
        <v>62503000</v>
      </c>
      <c r="D47" s="294">
        <v>62942000</v>
      </c>
      <c r="E47" s="292">
        <v>27342026</v>
      </c>
    </row>
    <row r="48" spans="1:5" ht="12" customHeight="1">
      <c r="A48" s="229" t="s">
        <v>68</v>
      </c>
      <c r="B48" s="6" t="s">
        <v>128</v>
      </c>
      <c r="C48" s="49">
        <v>11530000</v>
      </c>
      <c r="D48" s="49">
        <v>11670042</v>
      </c>
      <c r="E48" s="290">
        <v>5361346</v>
      </c>
    </row>
    <row r="49" spans="1:5" ht="12" customHeight="1">
      <c r="A49" s="229" t="s">
        <v>69</v>
      </c>
      <c r="B49" s="6" t="s">
        <v>95</v>
      </c>
      <c r="C49" s="49">
        <v>14850000</v>
      </c>
      <c r="D49" s="49">
        <v>16776104</v>
      </c>
      <c r="E49" s="290">
        <v>6221532</v>
      </c>
    </row>
    <row r="50" spans="1:5" ht="12" customHeight="1">
      <c r="A50" s="229" t="s">
        <v>70</v>
      </c>
      <c r="B50" s="6" t="s">
        <v>129</v>
      </c>
      <c r="C50" s="49"/>
      <c r="D50" s="49"/>
      <c r="E50" s="290"/>
    </row>
    <row r="51" spans="1:5" ht="12" customHeight="1" thickBot="1">
      <c r="A51" s="229" t="s">
        <v>102</v>
      </c>
      <c r="B51" s="6" t="s">
        <v>130</v>
      </c>
      <c r="C51" s="49"/>
      <c r="D51" s="49"/>
      <c r="E51" s="290"/>
    </row>
    <row r="52" spans="1:5" ht="12" customHeight="1" thickBot="1">
      <c r="A52" s="89" t="s">
        <v>10</v>
      </c>
      <c r="B52" s="59" t="s">
        <v>337</v>
      </c>
      <c r="C52" s="138">
        <f>SUM(C53:C55)</f>
        <v>500000</v>
      </c>
      <c r="D52" s="138">
        <f>SUM(D53:D55)</f>
        <v>1140960</v>
      </c>
      <c r="E52" s="166">
        <f>SUM(E53:E55)</f>
        <v>703420</v>
      </c>
    </row>
    <row r="53" spans="1:5" s="237" customFormat="1" ht="12" customHeight="1">
      <c r="A53" s="229" t="s">
        <v>73</v>
      </c>
      <c r="B53" s="7" t="s">
        <v>157</v>
      </c>
      <c r="C53" s="294">
        <v>500000</v>
      </c>
      <c r="D53" s="294">
        <v>1140960</v>
      </c>
      <c r="E53" s="292">
        <v>703420</v>
      </c>
    </row>
    <row r="54" spans="1:5" ht="12" customHeight="1">
      <c r="A54" s="229" t="s">
        <v>74</v>
      </c>
      <c r="B54" s="6" t="s">
        <v>132</v>
      </c>
      <c r="C54" s="49"/>
      <c r="D54" s="49"/>
      <c r="E54" s="290"/>
    </row>
    <row r="55" spans="1:5" ht="12" customHeight="1">
      <c r="A55" s="229" t="s">
        <v>75</v>
      </c>
      <c r="B55" s="6" t="s">
        <v>45</v>
      </c>
      <c r="C55" s="49"/>
      <c r="D55" s="49"/>
      <c r="E55" s="290"/>
    </row>
    <row r="56" spans="1:5" ht="12" customHeight="1" thickBot="1">
      <c r="A56" s="229" t="s">
        <v>76</v>
      </c>
      <c r="B56" s="6" t="s">
        <v>429</v>
      </c>
      <c r="C56" s="49"/>
      <c r="D56" s="49"/>
      <c r="E56" s="290"/>
    </row>
    <row r="57" spans="1:5" ht="12" customHeight="1" thickBot="1">
      <c r="A57" s="89" t="s">
        <v>11</v>
      </c>
      <c r="B57" s="59" t="s">
        <v>5</v>
      </c>
      <c r="C57" s="344"/>
      <c r="D57" s="344"/>
      <c r="E57" s="165"/>
    </row>
    <row r="58" spans="1:5" ht="15.2" customHeight="1" thickBot="1">
      <c r="A58" s="89" t="s">
        <v>12</v>
      </c>
      <c r="B58" s="101" t="s">
        <v>433</v>
      </c>
      <c r="C58" s="345">
        <f>+C46+C52+C57</f>
        <v>89383000</v>
      </c>
      <c r="D58" s="345">
        <f>+D46+D52+D57</f>
        <v>92529106</v>
      </c>
      <c r="E58" s="169">
        <f>+E46+E52+E57</f>
        <v>39628324</v>
      </c>
    </row>
    <row r="59" spans="1:5" ht="13.5" thickBot="1">
      <c r="C59" s="464">
        <f>C42-C58</f>
        <v>0</v>
      </c>
      <c r="D59" s="464">
        <f>D42-D58</f>
        <v>0</v>
      </c>
      <c r="E59" s="170"/>
    </row>
    <row r="60" spans="1:5" ht="15.2" customHeight="1" thickBot="1">
      <c r="A60" s="350" t="s">
        <v>512</v>
      </c>
      <c r="B60" s="351"/>
      <c r="C60" s="339"/>
      <c r="D60" s="339"/>
      <c r="E60" s="338"/>
    </row>
    <row r="61" spans="1:5" ht="14.45" customHeight="1" thickBot="1">
      <c r="A61" s="352" t="s">
        <v>513</v>
      </c>
      <c r="B61" s="353"/>
      <c r="C61" s="339"/>
      <c r="D61" s="339"/>
      <c r="E61" s="338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C00000"/>
  </sheetPr>
  <dimension ref="A1:E60"/>
  <sheetViews>
    <sheetView zoomScale="120" zoomScaleNormal="120" workbookViewId="0">
      <selection activeCell="B2" sqref="B2:D2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34" t="str">
        <f>CONCATENATE("9.3. melléklet ",IB_ALAPADATOK!A7," ",IB_ALAPADATOK!B7," ",IB_ALAPADATOK!C7," ",IB_ALAPADATOK!D7)</f>
        <v xml:space="preserve">9.3. melléklet a 7/2019.(X.09.)  önkormányzati rendelethez </v>
      </c>
      <c r="C1" s="535"/>
      <c r="D1" s="535"/>
      <c r="E1" s="535"/>
    </row>
    <row r="2" spans="1:5" s="233" customFormat="1" ht="25.5" customHeight="1" thickBot="1">
      <c r="A2" s="409" t="s">
        <v>479</v>
      </c>
      <c r="B2" s="536" t="s">
        <v>599</v>
      </c>
      <c r="C2" s="537"/>
      <c r="D2" s="538"/>
      <c r="E2" s="410" t="s">
        <v>47</v>
      </c>
    </row>
    <row r="3" spans="1:5" s="233" customFormat="1" ht="24.75" thickBot="1">
      <c r="A3" s="409" t="s">
        <v>141</v>
      </c>
      <c r="B3" s="536" t="s">
        <v>319</v>
      </c>
      <c r="C3" s="537"/>
      <c r="D3" s="538"/>
      <c r="E3" s="410" t="s">
        <v>42</v>
      </c>
    </row>
    <row r="4" spans="1:5" s="234" customFormat="1" ht="15.95" customHeight="1" thickBot="1">
      <c r="A4" s="411"/>
      <c r="B4" s="411"/>
      <c r="C4" s="412"/>
      <c r="D4" s="413"/>
      <c r="E4" s="412" t="str">
        <f>'9.2.3.sz.mell'!E4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23559100</v>
      </c>
      <c r="D8" s="138">
        <f>SUM(D9:D19)</f>
        <v>21690530</v>
      </c>
      <c r="E8" s="140">
        <f>SUM(E9:E19)</f>
        <v>10433231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>
        <v>18550500</v>
      </c>
      <c r="D13" s="282">
        <v>16675930</v>
      </c>
      <c r="E13" s="287">
        <v>8213577</v>
      </c>
    </row>
    <row r="14" spans="1:5" s="171" customFormat="1" ht="12" customHeight="1">
      <c r="A14" s="229" t="s">
        <v>71</v>
      </c>
      <c r="B14" s="6" t="s">
        <v>320</v>
      </c>
      <c r="C14" s="135">
        <v>5008600</v>
      </c>
      <c r="D14" s="282">
        <v>5008600</v>
      </c>
      <c r="E14" s="287">
        <v>2218087</v>
      </c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>
        <v>1000</v>
      </c>
      <c r="E16" s="291">
        <v>47</v>
      </c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>
        <v>5000</v>
      </c>
      <c r="E19" s="288">
        <v>1520</v>
      </c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4022913</v>
      </c>
      <c r="E20" s="166">
        <f>SUM(E21:E23)</f>
        <v>4022913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>
        <v>4022913</v>
      </c>
      <c r="E23" s="287">
        <v>4022913</v>
      </c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1575</v>
      </c>
      <c r="E30" s="166">
        <f>+E31+E32+E33</f>
        <v>1575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>
        <v>1575</v>
      </c>
      <c r="E33" s="343">
        <v>1575</v>
      </c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23559100</v>
      </c>
      <c r="D36" s="284">
        <f>+D8+D20+D25+D26+D30+D34+D35</f>
        <v>25715018</v>
      </c>
      <c r="E36" s="166">
        <f>+E8+E20+E25+E26+E30+E34+E35</f>
        <v>14457719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88113800</v>
      </c>
      <c r="D37" s="284">
        <f>+D38+D39+D40</f>
        <v>90264616</v>
      </c>
      <c r="E37" s="166">
        <f>+E38+E39+E40</f>
        <v>45908065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>
        <v>2150816</v>
      </c>
      <c r="E38" s="292">
        <v>2150816</v>
      </c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>
        <v>88113800</v>
      </c>
      <c r="D40" s="348">
        <v>88113800</v>
      </c>
      <c r="E40" s="343">
        <v>43757249</v>
      </c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111672900</v>
      </c>
      <c r="D41" s="341">
        <f>+D36+D37</f>
        <v>115979634</v>
      </c>
      <c r="E41" s="169">
        <f>+E36+E37</f>
        <v>60365784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110772900</v>
      </c>
      <c r="D45" s="284">
        <f>SUM(D46:D50)</f>
        <v>115079634</v>
      </c>
      <c r="E45" s="166">
        <f>SUM(E46:E50)</f>
        <v>56166333</v>
      </c>
    </row>
    <row r="46" spans="1:5" ht="12" customHeight="1">
      <c r="A46" s="229" t="s">
        <v>67</v>
      </c>
      <c r="B46" s="7" t="s">
        <v>38</v>
      </c>
      <c r="C46" s="294">
        <v>58157900</v>
      </c>
      <c r="D46" s="61">
        <v>59290268</v>
      </c>
      <c r="E46" s="292">
        <v>32381844</v>
      </c>
    </row>
    <row r="47" spans="1:5" ht="12" customHeight="1">
      <c r="A47" s="229" t="s">
        <v>68</v>
      </c>
      <c r="B47" s="6" t="s">
        <v>128</v>
      </c>
      <c r="C47" s="49">
        <v>11050000</v>
      </c>
      <c r="D47" s="62">
        <v>11275968</v>
      </c>
      <c r="E47" s="290">
        <v>6104430</v>
      </c>
    </row>
    <row r="48" spans="1:5" ht="12" customHeight="1">
      <c r="A48" s="229" t="s">
        <v>69</v>
      </c>
      <c r="B48" s="6" t="s">
        <v>95</v>
      </c>
      <c r="C48" s="49">
        <v>41565000</v>
      </c>
      <c r="D48" s="62">
        <v>44513398</v>
      </c>
      <c r="E48" s="290">
        <v>17680059</v>
      </c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900000</v>
      </c>
      <c r="D51" s="284">
        <f>SUM(D52:D54)</f>
        <v>900000</v>
      </c>
      <c r="E51" s="166">
        <f>SUM(E52:E54)</f>
        <v>249007</v>
      </c>
    </row>
    <row r="52" spans="1:5" s="237" customFormat="1" ht="12" customHeight="1">
      <c r="A52" s="229" t="s">
        <v>73</v>
      </c>
      <c r="B52" s="7" t="s">
        <v>157</v>
      </c>
      <c r="C52" s="294">
        <v>500000</v>
      </c>
      <c r="D52" s="61">
        <v>500000</v>
      </c>
      <c r="E52" s="292">
        <v>249007</v>
      </c>
    </row>
    <row r="53" spans="1:5" ht="12" customHeight="1">
      <c r="A53" s="229" t="s">
        <v>74</v>
      </c>
      <c r="B53" s="6" t="s">
        <v>132</v>
      </c>
      <c r="C53" s="49">
        <v>400000</v>
      </c>
      <c r="D53" s="62">
        <v>400000</v>
      </c>
      <c r="E53" s="290">
        <v>0</v>
      </c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111672900</v>
      </c>
      <c r="D57" s="341">
        <f>+D45+D51+D56</f>
        <v>115979634</v>
      </c>
      <c r="E57" s="169">
        <f>+E45+E51+E56</f>
        <v>56415340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C00000"/>
  </sheetPr>
  <dimension ref="A1:E60"/>
  <sheetViews>
    <sheetView zoomScale="120" zoomScaleNormal="120" workbookViewId="0">
      <selection activeCell="B2" sqref="B2:D2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CONCATENATE("9.3.1. melléklet ",IB_ALAPADATOK!A7," ",IB_ALAPADATOK!B7," ",IB_ALAPADATOK!C7," ",IB_ALAPADATOK!D7)</f>
        <v xml:space="preserve">9.3.1.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CONCATENATE(IB_9.3.sz.mell!B2:D2)</f>
        <v>Borsodnádasdi Szociális Alapszolgáltatási Központ</v>
      </c>
      <c r="C2" s="537"/>
      <c r="D2" s="538"/>
      <c r="E2" s="410" t="s">
        <v>47</v>
      </c>
    </row>
    <row r="3" spans="1:5" s="233" customFormat="1" ht="24.75" thickBot="1">
      <c r="A3" s="409" t="s">
        <v>141</v>
      </c>
      <c r="B3" s="536" t="s">
        <v>338</v>
      </c>
      <c r="C3" s="537"/>
      <c r="D3" s="538"/>
      <c r="E3" s="410" t="s">
        <v>46</v>
      </c>
    </row>
    <row r="4" spans="1:5" s="234" customFormat="1" ht="15.95" customHeight="1" thickBot="1">
      <c r="A4" s="411"/>
      <c r="B4" s="411"/>
      <c r="C4" s="412"/>
      <c r="D4" s="413"/>
      <c r="E4" s="412" t="str">
        <f>IB_9.3.sz.mell!E4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23559100</v>
      </c>
      <c r="D8" s="138">
        <f>SUM(D9:D19)</f>
        <v>21690530</v>
      </c>
      <c r="E8" s="140">
        <f>SUM(E9:E19)</f>
        <v>10433231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>
        <v>18550500</v>
      </c>
      <c r="D13" s="282">
        <v>16675930</v>
      </c>
      <c r="E13" s="287">
        <v>8213577</v>
      </c>
    </row>
    <row r="14" spans="1:5" s="171" customFormat="1" ht="12" customHeight="1">
      <c r="A14" s="229" t="s">
        <v>71</v>
      </c>
      <c r="B14" s="6" t="s">
        <v>320</v>
      </c>
      <c r="C14" s="135">
        <v>5008600</v>
      </c>
      <c r="D14" s="282">
        <v>5008600</v>
      </c>
      <c r="E14" s="287">
        <v>2218087</v>
      </c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>
        <v>1000</v>
      </c>
      <c r="E17" s="287">
        <v>47</v>
      </c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>
        <v>5000</v>
      </c>
      <c r="E19" s="288">
        <v>1520</v>
      </c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4022913</v>
      </c>
      <c r="E20" s="166">
        <f>SUM(E21:E23)</f>
        <v>4022913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>
        <v>4022913</v>
      </c>
      <c r="E23" s="287">
        <v>4022913</v>
      </c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1575</v>
      </c>
      <c r="E30" s="166">
        <f>+E31+E32+E33</f>
        <v>1575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>
        <v>1575</v>
      </c>
      <c r="E33" s="343">
        <v>1575</v>
      </c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23559100</v>
      </c>
      <c r="D36" s="284">
        <f>+D8+D20+D25+D26+D30+D34+D35</f>
        <v>25715018</v>
      </c>
      <c r="E36" s="166">
        <f>+E8+E20+E25+E26+E30+E34+E35</f>
        <v>14457719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88113800</v>
      </c>
      <c r="D37" s="284">
        <f>+D38+D39+D40</f>
        <v>90264616</v>
      </c>
      <c r="E37" s="166">
        <f>+E38+E39+E40</f>
        <v>45908065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>
        <v>2150816</v>
      </c>
      <c r="E38" s="292">
        <v>2150816</v>
      </c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>
        <v>88113800</v>
      </c>
      <c r="D40" s="348">
        <v>88113800</v>
      </c>
      <c r="E40" s="343">
        <v>43757249</v>
      </c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111672900</v>
      </c>
      <c r="D41" s="341">
        <f>+D36+D37</f>
        <v>115979634</v>
      </c>
      <c r="E41" s="169">
        <f>+E36+E37</f>
        <v>60365784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110772900</v>
      </c>
      <c r="D45" s="284">
        <f>SUM(D46:D50)</f>
        <v>115079634</v>
      </c>
      <c r="E45" s="166">
        <f>SUM(E46:E50)</f>
        <v>56166333</v>
      </c>
    </row>
    <row r="46" spans="1:5" ht="12" customHeight="1">
      <c r="A46" s="229" t="s">
        <v>67</v>
      </c>
      <c r="B46" s="7" t="s">
        <v>38</v>
      </c>
      <c r="C46" s="294">
        <v>58157900</v>
      </c>
      <c r="D46" s="61">
        <v>59290268</v>
      </c>
      <c r="E46" s="292">
        <v>32381844</v>
      </c>
    </row>
    <row r="47" spans="1:5" ht="12" customHeight="1">
      <c r="A47" s="229" t="s">
        <v>68</v>
      </c>
      <c r="B47" s="6" t="s">
        <v>128</v>
      </c>
      <c r="C47" s="49">
        <v>11050000</v>
      </c>
      <c r="D47" s="62">
        <v>11275968</v>
      </c>
      <c r="E47" s="290">
        <v>6104430</v>
      </c>
    </row>
    <row r="48" spans="1:5" ht="12" customHeight="1">
      <c r="A48" s="229" t="s">
        <v>69</v>
      </c>
      <c r="B48" s="6" t="s">
        <v>95</v>
      </c>
      <c r="C48" s="49">
        <v>41565000</v>
      </c>
      <c r="D48" s="62">
        <v>44513398</v>
      </c>
      <c r="E48" s="290">
        <v>17680059</v>
      </c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900000</v>
      </c>
      <c r="D51" s="284">
        <f>SUM(D52:D54)</f>
        <v>900000</v>
      </c>
      <c r="E51" s="166">
        <f>SUM(E52:E54)</f>
        <v>249007</v>
      </c>
    </row>
    <row r="52" spans="1:5" s="237" customFormat="1" ht="12" customHeight="1">
      <c r="A52" s="229" t="s">
        <v>73</v>
      </c>
      <c r="B52" s="7" t="s">
        <v>157</v>
      </c>
      <c r="C52" s="294">
        <v>500000</v>
      </c>
      <c r="D52" s="61">
        <v>500000</v>
      </c>
      <c r="E52" s="292">
        <v>249007</v>
      </c>
    </row>
    <row r="53" spans="1:5" ht="12" customHeight="1">
      <c r="A53" s="229" t="s">
        <v>74</v>
      </c>
      <c r="B53" s="6" t="s">
        <v>132</v>
      </c>
      <c r="C53" s="49">
        <v>400000</v>
      </c>
      <c r="D53" s="62">
        <v>400000</v>
      </c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111672900</v>
      </c>
      <c r="D57" s="341">
        <f>+D45+D51+D56</f>
        <v>115979634</v>
      </c>
      <c r="E57" s="169">
        <f>+E45+E51+E56</f>
        <v>56415340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2" sqref="B2:D2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CONCATENATE("6.3.2. melléklet ",IB_ALAPADATOK!A7," ",IB_ALAPADATOK!B7," ",IB_ALAPADATOK!C7," ",IB_ALAPADATOK!D7)</f>
        <v xml:space="preserve">6.3.2.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CONCATENATE('9.3.1.sz.mell'!B2:D2)</f>
        <v>Borsodnádasdi Szociális Alapszolgáltatási Központ</v>
      </c>
      <c r="C2" s="537"/>
      <c r="D2" s="538"/>
      <c r="E2" s="410" t="s">
        <v>47</v>
      </c>
    </row>
    <row r="3" spans="1:5" s="233" customFormat="1" ht="24.75" thickBot="1">
      <c r="A3" s="409" t="s">
        <v>141</v>
      </c>
      <c r="B3" s="536" t="s">
        <v>339</v>
      </c>
      <c r="C3" s="537"/>
      <c r="D3" s="538"/>
      <c r="E3" s="410" t="s">
        <v>47</v>
      </c>
    </row>
    <row r="4" spans="1:5" s="234" customFormat="1" ht="15.95" customHeight="1" thickBot="1">
      <c r="A4" s="411"/>
      <c r="B4" s="411"/>
      <c r="C4" s="412"/>
      <c r="D4" s="413"/>
      <c r="E4" s="412" t="str">
        <f>'9.3.1.sz.mell'!E4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CONCATENATE("6.3.3. melléklet ",IB_ALAPADATOK!A7," ",IB_ALAPADATOK!B7," ",IB_ALAPADATOK!C7," ",IB_ALAPADATOK!D7)</f>
        <v xml:space="preserve">6.3.3. melléklet a 7/2019.(X.09.)  önkormányzati rendelethez </v>
      </c>
      <c r="C1" s="542"/>
      <c r="D1" s="542"/>
      <c r="E1" s="542"/>
    </row>
    <row r="2" spans="1:5" s="233" customFormat="1" ht="24.75" thickBot="1">
      <c r="A2" s="409" t="s">
        <v>479</v>
      </c>
      <c r="B2" s="536" t="str">
        <f>CONCATENATE(IB_6.3.2.sz.mell!B2:D2)</f>
        <v>Borsodnádasdi Szociális Alapszolgáltatási Központ</v>
      </c>
      <c r="C2" s="537"/>
      <c r="D2" s="538"/>
      <c r="E2" s="410" t="s">
        <v>47</v>
      </c>
    </row>
    <row r="3" spans="1:5" s="233" customFormat="1" ht="24.75" thickBot="1">
      <c r="A3" s="409" t="s">
        <v>141</v>
      </c>
      <c r="B3" s="536" t="s">
        <v>434</v>
      </c>
      <c r="C3" s="537"/>
      <c r="D3" s="538"/>
      <c r="E3" s="410" t="s">
        <v>348</v>
      </c>
    </row>
    <row r="4" spans="1:5" s="234" customFormat="1" ht="15.95" customHeight="1" thickBot="1">
      <c r="A4" s="411"/>
      <c r="B4" s="411"/>
      <c r="C4" s="412"/>
      <c r="D4" s="413"/>
      <c r="E4" s="412" t="str">
        <f>IB_6.3.2.sz.mell!E4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FF0000"/>
  </sheetPr>
  <dimension ref="A1:E60"/>
  <sheetViews>
    <sheetView zoomScale="120" zoomScaleNormal="120" workbookViewId="0">
      <selection activeCell="B2" sqref="B2:D2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34" t="str">
        <f>CONCATENATE("9.4. melléklet ",IB_ALAPADATOK!A7," ",IB_ALAPADATOK!B7," ",IB_ALAPADATOK!C7," ",IB_ALAPADATOK!D7)</f>
        <v xml:space="preserve">9.4. melléklet a 7/2019.(X.09.)  önkormányzati rendelethez </v>
      </c>
      <c r="C1" s="535"/>
      <c r="D1" s="535"/>
      <c r="E1" s="535"/>
    </row>
    <row r="2" spans="1:5" s="233" customFormat="1" ht="25.5" customHeight="1" thickBot="1">
      <c r="A2" s="409" t="s">
        <v>479</v>
      </c>
      <c r="B2" s="536" t="s">
        <v>598</v>
      </c>
      <c r="C2" s="537"/>
      <c r="D2" s="538"/>
      <c r="E2" s="410" t="s">
        <v>348</v>
      </c>
    </row>
    <row r="3" spans="1:5" s="233" customFormat="1" ht="24.75" thickBot="1">
      <c r="A3" s="409" t="s">
        <v>141</v>
      </c>
      <c r="B3" s="536" t="s">
        <v>319</v>
      </c>
      <c r="C3" s="537"/>
      <c r="D3" s="538"/>
      <c r="E3" s="410" t="s">
        <v>42</v>
      </c>
    </row>
    <row r="4" spans="1:5" s="234" customFormat="1" ht="15.95" customHeight="1" thickBot="1">
      <c r="A4" s="411"/>
      <c r="B4" s="411"/>
      <c r="C4" s="412"/>
      <c r="D4" s="413"/>
      <c r="E4" s="412" t="str">
        <f>'9.2.3.sz.mell'!E4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6000</v>
      </c>
      <c r="E8" s="140">
        <f>SUM(E9:E19)</f>
        <v>1044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>
        <v>1000</v>
      </c>
      <c r="E16" s="291">
        <v>3</v>
      </c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>
        <v>5000</v>
      </c>
      <c r="E19" s="288">
        <v>1041</v>
      </c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6000</v>
      </c>
      <c r="E36" s="166">
        <f>+E8+E20+E25+E26+E30+E34+E35</f>
        <v>1044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56461300</v>
      </c>
      <c r="D37" s="284">
        <f>+D38+D39+D40</f>
        <v>56754767</v>
      </c>
      <c r="E37" s="166">
        <f>+E38+E39+E40</f>
        <v>31531206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>
        <v>293467</v>
      </c>
      <c r="E38" s="292">
        <v>293467</v>
      </c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>
        <v>56461300</v>
      </c>
      <c r="D40" s="348">
        <v>56461300</v>
      </c>
      <c r="E40" s="343">
        <v>31237739</v>
      </c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56461300</v>
      </c>
      <c r="D41" s="341">
        <f>+D36+D37</f>
        <v>56760767</v>
      </c>
      <c r="E41" s="169">
        <f>+E36+E37</f>
        <v>31532250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56461300</v>
      </c>
      <c r="D45" s="284">
        <f>SUM(D46:D50)</f>
        <v>56690767</v>
      </c>
      <c r="E45" s="166">
        <f>SUM(E46:E50)</f>
        <v>30588254</v>
      </c>
    </row>
    <row r="46" spans="1:5" ht="12" customHeight="1">
      <c r="A46" s="229" t="s">
        <v>67</v>
      </c>
      <c r="B46" s="7" t="s">
        <v>38</v>
      </c>
      <c r="C46" s="294">
        <v>44473300</v>
      </c>
      <c r="D46" s="61">
        <v>44473300</v>
      </c>
      <c r="E46" s="292">
        <v>24289136</v>
      </c>
    </row>
    <row r="47" spans="1:5" ht="12" customHeight="1">
      <c r="A47" s="229" t="s">
        <v>68</v>
      </c>
      <c r="B47" s="6" t="s">
        <v>128</v>
      </c>
      <c r="C47" s="49">
        <v>8114800</v>
      </c>
      <c r="D47" s="62">
        <v>8114800</v>
      </c>
      <c r="E47" s="290">
        <v>4759281</v>
      </c>
    </row>
    <row r="48" spans="1:5" ht="12" customHeight="1">
      <c r="A48" s="229" t="s">
        <v>69</v>
      </c>
      <c r="B48" s="6" t="s">
        <v>95</v>
      </c>
      <c r="C48" s="49">
        <v>3873200</v>
      </c>
      <c r="D48" s="62">
        <v>4102667</v>
      </c>
      <c r="E48" s="290">
        <v>1539837</v>
      </c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70000</v>
      </c>
      <c r="E51" s="166">
        <f>SUM(E52:E54)</f>
        <v>68580</v>
      </c>
    </row>
    <row r="52" spans="1:5" s="237" customFormat="1" ht="12" customHeight="1">
      <c r="A52" s="229" t="s">
        <v>73</v>
      </c>
      <c r="B52" s="7" t="s">
        <v>157</v>
      </c>
      <c r="C52" s="294"/>
      <c r="D52" s="61">
        <v>70000</v>
      </c>
      <c r="E52" s="292">
        <v>68580</v>
      </c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56461300</v>
      </c>
      <c r="D57" s="341">
        <f>+D45+D51+D56</f>
        <v>56760767</v>
      </c>
      <c r="E57" s="169">
        <f>+E45+E51+E56</f>
        <v>30656834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C00000"/>
  </sheetPr>
  <dimension ref="A1:E60"/>
  <sheetViews>
    <sheetView zoomScale="120" zoomScaleNormal="120" workbookViewId="0">
      <selection activeCell="B2" sqref="B2:D2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CONCATENATE("9.4.1. melléklet ",IB_ALAPADATOK!A7," ",IB_ALAPADATOK!B7," ",IB_ALAPADATOK!C7," ",IB_ALAPADATOK!D7)</f>
        <v xml:space="preserve">9.4.1.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CONCATENATE('9.4.sz.mell'!B2:D2)</f>
        <v>Borsodnádasdi Mesekert Óvoda</v>
      </c>
      <c r="C2" s="537"/>
      <c r="D2" s="538"/>
      <c r="E2" s="410" t="s">
        <v>348</v>
      </c>
    </row>
    <row r="3" spans="1:5" s="233" customFormat="1" ht="24.75" thickBot="1">
      <c r="A3" s="409" t="s">
        <v>141</v>
      </c>
      <c r="B3" s="536" t="s">
        <v>338</v>
      </c>
      <c r="C3" s="537"/>
      <c r="D3" s="538"/>
      <c r="E3" s="410" t="s">
        <v>46</v>
      </c>
    </row>
    <row r="4" spans="1:5" s="234" customFormat="1" ht="15.95" customHeight="1" thickBot="1">
      <c r="A4" s="411"/>
      <c r="B4" s="411"/>
      <c r="C4" s="412"/>
      <c r="D4" s="413"/>
      <c r="E4" s="412" t="str">
        <f>'9.4.sz.mell'!E4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6000</v>
      </c>
      <c r="E8" s="140">
        <f>SUM(E9:E19)</f>
        <v>1044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>
        <v>6000</v>
      </c>
      <c r="E19" s="288">
        <v>1044</v>
      </c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6000</v>
      </c>
      <c r="E36" s="166">
        <f>+E8+E20+E25+E26+E30+E34+E35</f>
        <v>1044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56461300</v>
      </c>
      <c r="D37" s="284">
        <f>+D38+D39+D40</f>
        <v>56754767</v>
      </c>
      <c r="E37" s="166">
        <f>+E38+E39+E40</f>
        <v>31531206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>
        <v>293467</v>
      </c>
      <c r="E38" s="292">
        <v>293467</v>
      </c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>
        <v>56461300</v>
      </c>
      <c r="D40" s="348">
        <v>56461300</v>
      </c>
      <c r="E40" s="343">
        <v>31237739</v>
      </c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56461300</v>
      </c>
      <c r="D41" s="341">
        <f>+D36+D37</f>
        <v>56760767</v>
      </c>
      <c r="E41" s="169">
        <f>+E36+E37</f>
        <v>31532250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56461300</v>
      </c>
      <c r="D45" s="284">
        <f>SUM(D46:D50)</f>
        <v>56690767</v>
      </c>
      <c r="E45" s="166">
        <f>SUM(E46:E50)</f>
        <v>30588254</v>
      </c>
    </row>
    <row r="46" spans="1:5" ht="12" customHeight="1">
      <c r="A46" s="229" t="s">
        <v>67</v>
      </c>
      <c r="B46" s="7" t="s">
        <v>38</v>
      </c>
      <c r="C46" s="294">
        <v>44473300</v>
      </c>
      <c r="D46" s="61">
        <v>44473300</v>
      </c>
      <c r="E46" s="292">
        <v>24289136</v>
      </c>
    </row>
    <row r="47" spans="1:5" ht="12" customHeight="1">
      <c r="A47" s="229" t="s">
        <v>68</v>
      </c>
      <c r="B47" s="6" t="s">
        <v>128</v>
      </c>
      <c r="C47" s="49">
        <v>8114800</v>
      </c>
      <c r="D47" s="62">
        <v>8114800</v>
      </c>
      <c r="E47" s="290">
        <v>4759281</v>
      </c>
    </row>
    <row r="48" spans="1:5" ht="12" customHeight="1">
      <c r="A48" s="229" t="s">
        <v>69</v>
      </c>
      <c r="B48" s="6" t="s">
        <v>95</v>
      </c>
      <c r="C48" s="49">
        <v>3873200</v>
      </c>
      <c r="D48" s="62">
        <v>4102667</v>
      </c>
      <c r="E48" s="290">
        <v>1539837</v>
      </c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70000</v>
      </c>
      <c r="E51" s="166">
        <f>SUM(E52:E54)</f>
        <v>68580</v>
      </c>
    </row>
    <row r="52" spans="1:5" s="237" customFormat="1" ht="12" customHeight="1">
      <c r="A52" s="229" t="s">
        <v>73</v>
      </c>
      <c r="B52" s="7" t="s">
        <v>157</v>
      </c>
      <c r="C52" s="294"/>
      <c r="D52" s="61">
        <v>70000</v>
      </c>
      <c r="E52" s="292">
        <v>68580</v>
      </c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56461300</v>
      </c>
      <c r="D57" s="341">
        <f>+D45+D51+D56</f>
        <v>56760767</v>
      </c>
      <c r="E57" s="169">
        <f>+E45+E51+E56</f>
        <v>30656834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CONCATENATE("6.4.2. melléklet ",IB_ALAPADATOK!A7," ",IB_ALAPADATOK!B7," ",IB_ALAPADATOK!C7," ",IB_ALAPADATOK!D7)</f>
        <v xml:space="preserve">6.4.2.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CONCATENATE(IB_9.4.1.sz.mell!B2:D2)</f>
        <v>Borsodnádasdi Mesekert Óvoda</v>
      </c>
      <c r="C2" s="537"/>
      <c r="D2" s="538"/>
      <c r="E2" s="410" t="s">
        <v>348</v>
      </c>
    </row>
    <row r="3" spans="1:5" s="233" customFormat="1" ht="24.75" thickBot="1">
      <c r="A3" s="409" t="s">
        <v>141</v>
      </c>
      <c r="B3" s="536" t="s">
        <v>339</v>
      </c>
      <c r="C3" s="537"/>
      <c r="D3" s="538"/>
      <c r="E3" s="410" t="s">
        <v>47</v>
      </c>
    </row>
    <row r="4" spans="1:5" s="234" customFormat="1" ht="15.95" customHeight="1" thickBot="1">
      <c r="A4" s="411"/>
      <c r="B4" s="411"/>
      <c r="C4" s="412"/>
      <c r="D4" s="413"/>
      <c r="E4" s="412" t="str">
        <f>IB_9.4.1.sz.mell!E4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CONCATENATE("6.4.3. melléklet ",IB_ALAPADATOK!A7," ",IB_ALAPADATOK!B7," ",IB_ALAPADATOK!C7," ",IB_ALAPADATOK!D7)</f>
        <v xml:space="preserve">6.4.3.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CONCATENATE(IB_6.4.2.sz.mell!B2:D2)</f>
        <v>Borsodnádasdi Mesekert Óvoda</v>
      </c>
      <c r="C2" s="537"/>
      <c r="D2" s="538"/>
      <c r="E2" s="410" t="s">
        <v>348</v>
      </c>
    </row>
    <row r="3" spans="1:5" s="233" customFormat="1" ht="24.75" thickBot="1">
      <c r="A3" s="409" t="s">
        <v>141</v>
      </c>
      <c r="B3" s="536" t="s">
        <v>434</v>
      </c>
      <c r="C3" s="537"/>
      <c r="D3" s="538"/>
      <c r="E3" s="410" t="s">
        <v>348</v>
      </c>
    </row>
    <row r="4" spans="1:5" s="234" customFormat="1" ht="15.95" customHeight="1" thickBot="1">
      <c r="A4" s="411"/>
      <c r="B4" s="411"/>
      <c r="C4" s="412"/>
      <c r="D4" s="413"/>
      <c r="E4" s="412" t="str">
        <f>IB_6.4.2.sz.mell!E4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B41"/>
  <sheetViews>
    <sheetView topLeftCell="A7" zoomScale="120" zoomScaleNormal="120" workbookViewId="0"/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96" t="s">
        <v>594</v>
      </c>
      <c r="B1" s="90"/>
    </row>
    <row r="2" spans="1:2">
      <c r="A2" s="90"/>
      <c r="B2" s="90"/>
    </row>
    <row r="3" spans="1:2">
      <c r="A3" s="298"/>
      <c r="B3" s="298"/>
    </row>
    <row r="4" spans="1:2" ht="15.75">
      <c r="A4" s="92"/>
      <c r="B4" s="302"/>
    </row>
    <row r="5" spans="1:2" ht="15.75">
      <c r="A5" s="92"/>
      <c r="B5" s="302"/>
    </row>
    <row r="6" spans="1:2" s="69" customFormat="1" ht="15.75">
      <c r="A6" s="92" t="s">
        <v>520</v>
      </c>
      <c r="B6" s="298"/>
    </row>
    <row r="7" spans="1:2" s="69" customFormat="1">
      <c r="A7" s="298"/>
      <c r="B7" s="298"/>
    </row>
    <row r="8" spans="1:2" s="69" customFormat="1">
      <c r="A8" s="298"/>
      <c r="B8" s="298"/>
    </row>
    <row r="9" spans="1:2">
      <c r="A9" s="298" t="s">
        <v>482</v>
      </c>
      <c r="B9" s="298" t="s">
        <v>444</v>
      </c>
    </row>
    <row r="10" spans="1:2">
      <c r="A10" s="298" t="s">
        <v>480</v>
      </c>
      <c r="B10" s="298" t="s">
        <v>450</v>
      </c>
    </row>
    <row r="11" spans="1:2">
      <c r="A11" s="298" t="s">
        <v>481</v>
      </c>
      <c r="B11" s="298" t="s">
        <v>451</v>
      </c>
    </row>
    <row r="12" spans="1:2">
      <c r="A12" s="298"/>
      <c r="B12" s="298"/>
    </row>
    <row r="13" spans="1:2" ht="15.75">
      <c r="A13" s="92" t="str">
        <f>+CONCATENATE(LEFT(A6,4),". évi módosított előirányzat BEVÉTELEK")</f>
        <v>2019. évi módosított előirányzat BEVÉTELEK</v>
      </c>
      <c r="B13" s="302"/>
    </row>
    <row r="14" spans="1:2">
      <c r="A14" s="298"/>
      <c r="B14" s="298"/>
    </row>
    <row r="15" spans="1:2" s="69" customFormat="1">
      <c r="A15" s="298" t="s">
        <v>483</v>
      </c>
      <c r="B15" s="298" t="s">
        <v>445</v>
      </c>
    </row>
    <row r="16" spans="1:2">
      <c r="A16" s="298" t="s">
        <v>484</v>
      </c>
      <c r="B16" s="298" t="s">
        <v>452</v>
      </c>
    </row>
    <row r="17" spans="1:2">
      <c r="A17" s="298" t="s">
        <v>485</v>
      </c>
      <c r="B17" s="298" t="s">
        <v>453</v>
      </c>
    </row>
    <row r="18" spans="1:2">
      <c r="A18" s="298"/>
      <c r="B18" s="298"/>
    </row>
    <row r="19" spans="1:2" ht="14.25">
      <c r="A19" s="305" t="str">
        <f>+CONCATENATE(LEFT(A6,4),". I. félévi (I-II. negyedévi) teljesítés BEVÉTELEK")</f>
        <v>2019. I. félévi (I-II. negyedévi) teljesítés BEVÉTELEK</v>
      </c>
      <c r="B19" s="302"/>
    </row>
    <row r="20" spans="1:2">
      <c r="A20" s="298"/>
      <c r="B20" s="298"/>
    </row>
    <row r="21" spans="1:2">
      <c r="A21" s="298" t="s">
        <v>486</v>
      </c>
      <c r="B21" s="298" t="s">
        <v>446</v>
      </c>
    </row>
    <row r="22" spans="1:2">
      <c r="A22" s="298" t="s">
        <v>487</v>
      </c>
      <c r="B22" s="298" t="s">
        <v>454</v>
      </c>
    </row>
    <row r="23" spans="1:2">
      <c r="A23" s="298" t="s">
        <v>488</v>
      </c>
      <c r="B23" s="298" t="s">
        <v>455</v>
      </c>
    </row>
    <row r="24" spans="1:2">
      <c r="A24" s="298"/>
      <c r="B24" s="298"/>
    </row>
    <row r="25" spans="1:2" ht="15.75">
      <c r="A25" s="92" t="str">
        <f>+CONCATENATE(LEFT(A6,4),". évi eredeti előirányzat KIADÁSOK")</f>
        <v>2019. évi eredeti előirányzat KIADÁSOK</v>
      </c>
      <c r="B25" s="302"/>
    </row>
    <row r="26" spans="1:2">
      <c r="A26" s="298"/>
      <c r="B26" s="298"/>
    </row>
    <row r="27" spans="1:2">
      <c r="A27" s="298" t="s">
        <v>489</v>
      </c>
      <c r="B27" s="298" t="s">
        <v>447</v>
      </c>
    </row>
    <row r="28" spans="1:2">
      <c r="A28" s="298" t="s">
        <v>490</v>
      </c>
      <c r="B28" s="298" t="s">
        <v>456</v>
      </c>
    </row>
    <row r="29" spans="1:2">
      <c r="A29" s="298" t="s">
        <v>491</v>
      </c>
      <c r="B29" s="298" t="s">
        <v>457</v>
      </c>
    </row>
    <row r="30" spans="1:2">
      <c r="A30" s="298"/>
      <c r="B30" s="298"/>
    </row>
    <row r="31" spans="1:2" ht="15.75">
      <c r="A31" s="92" t="str">
        <f>+CONCATENATE(LEFT(A6,4),". évi módosított előirányzat KIADÁSOK")</f>
        <v>2019. évi módosított előirányzat KIADÁSOK</v>
      </c>
      <c r="B31" s="302"/>
    </row>
    <row r="32" spans="1:2">
      <c r="A32" s="298"/>
      <c r="B32" s="298"/>
    </row>
    <row r="33" spans="1:2">
      <c r="A33" s="298" t="s">
        <v>492</v>
      </c>
      <c r="B33" s="298" t="s">
        <v>448</v>
      </c>
    </row>
    <row r="34" spans="1:2">
      <c r="A34" s="298" t="s">
        <v>493</v>
      </c>
      <c r="B34" s="298" t="s">
        <v>458</v>
      </c>
    </row>
    <row r="35" spans="1:2">
      <c r="A35" s="298" t="s">
        <v>494</v>
      </c>
      <c r="B35" s="298" t="s">
        <v>459</v>
      </c>
    </row>
    <row r="36" spans="1:2">
      <c r="A36" s="298"/>
      <c r="B36" s="298"/>
    </row>
    <row r="37" spans="1:2" ht="15.75">
      <c r="A37" s="304" t="str">
        <f>+CONCATENATE(LEFT(A6,4),". I. félévi (I-II. negyedévi) teljesítés KIADÁSOK")</f>
        <v>2019. I. félévi (I-II. negyedévi) teljesítés KIADÁSOK</v>
      </c>
      <c r="B37" s="302"/>
    </row>
    <row r="38" spans="1:2">
      <c r="A38" s="298"/>
      <c r="B38" s="298"/>
    </row>
    <row r="39" spans="1:2">
      <c r="A39" s="298" t="s">
        <v>495</v>
      </c>
      <c r="B39" s="298" t="s">
        <v>449</v>
      </c>
    </row>
    <row r="40" spans="1:2">
      <c r="A40" s="298" t="s">
        <v>496</v>
      </c>
      <c r="B40" s="298" t="s">
        <v>460</v>
      </c>
    </row>
    <row r="41" spans="1:2">
      <c r="A41" s="298" t="s">
        <v>497</v>
      </c>
      <c r="B41" s="298" t="s">
        <v>461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C00000"/>
  </sheetPr>
  <dimension ref="A1:E60"/>
  <sheetViews>
    <sheetView zoomScale="120" zoomScaleNormal="120" workbookViewId="0">
      <selection activeCell="B2" sqref="B2:D2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34" t="str">
        <f>CONCATENATE("9.5. melléklet ",IB_ALAPADATOK!A7," ",IB_ALAPADATOK!B7," ",IB_ALAPADATOK!C7," ",IB_ALAPADATOK!D7)</f>
        <v xml:space="preserve">9.5. melléklet a 7/2019.(X.09.)  önkormányzati rendelethez </v>
      </c>
      <c r="C1" s="535"/>
      <c r="D1" s="535"/>
      <c r="E1" s="535"/>
    </row>
    <row r="2" spans="1:5" s="233" customFormat="1" ht="25.5" customHeight="1" thickBot="1">
      <c r="A2" s="409" t="s">
        <v>479</v>
      </c>
      <c r="B2" s="536" t="s">
        <v>597</v>
      </c>
      <c r="C2" s="537"/>
      <c r="D2" s="538"/>
      <c r="E2" s="410" t="s">
        <v>546</v>
      </c>
    </row>
    <row r="3" spans="1:5" s="233" customFormat="1" ht="24.75" thickBot="1">
      <c r="A3" s="409" t="s">
        <v>141</v>
      </c>
      <c r="B3" s="536" t="s">
        <v>319</v>
      </c>
      <c r="C3" s="537"/>
      <c r="D3" s="538"/>
      <c r="E3" s="410" t="s">
        <v>42</v>
      </c>
    </row>
    <row r="4" spans="1:5" s="234" customFormat="1" ht="15.95" customHeight="1" thickBot="1">
      <c r="A4" s="411"/>
      <c r="B4" s="411"/>
      <c r="C4" s="412"/>
      <c r="D4" s="413"/>
      <c r="E4" s="412" t="str">
        <f>'9.2.3.sz.mell'!E4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397000</v>
      </c>
      <c r="D8" s="138">
        <f>SUM(D9:D19)</f>
        <v>502000</v>
      </c>
      <c r="E8" s="140">
        <f>SUM(E9:E19)</f>
        <v>58600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>
        <v>397000</v>
      </c>
      <c r="D10" s="282">
        <v>502000</v>
      </c>
      <c r="E10" s="287">
        <v>58600</v>
      </c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397000</v>
      </c>
      <c r="D36" s="284">
        <f>+D8+D20+D25+D26+D30+D34+D35</f>
        <v>502000</v>
      </c>
      <c r="E36" s="166">
        <f>+E8+E20+E25+E26+E30+E34+E35</f>
        <v>58600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23039000</v>
      </c>
      <c r="D37" s="284">
        <f>+D38+D39+D40</f>
        <v>25634037</v>
      </c>
      <c r="E37" s="166">
        <f>+E38+E39+E40</f>
        <v>12389665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>
        <v>2595037</v>
      </c>
      <c r="E38" s="292">
        <v>2595037</v>
      </c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>
        <v>23039000</v>
      </c>
      <c r="D40" s="348">
        <v>23039000</v>
      </c>
      <c r="E40" s="343">
        <v>9794628</v>
      </c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23436000</v>
      </c>
      <c r="D41" s="341">
        <f>+D36+D37</f>
        <v>26136037</v>
      </c>
      <c r="E41" s="169">
        <f>+E36+E37</f>
        <v>12448265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22436000</v>
      </c>
      <c r="D45" s="284">
        <f>SUM(D46:D50)</f>
        <v>24986037</v>
      </c>
      <c r="E45" s="166">
        <f>SUM(E46:E50)</f>
        <v>11443043</v>
      </c>
    </row>
    <row r="46" spans="1:5" ht="12" customHeight="1">
      <c r="A46" s="229" t="s">
        <v>67</v>
      </c>
      <c r="B46" s="7" t="s">
        <v>38</v>
      </c>
      <c r="C46" s="294">
        <v>8465000</v>
      </c>
      <c r="D46" s="61">
        <v>8465000</v>
      </c>
      <c r="E46" s="292">
        <v>4007900</v>
      </c>
    </row>
    <row r="47" spans="1:5" ht="12" customHeight="1">
      <c r="A47" s="229" t="s">
        <v>68</v>
      </c>
      <c r="B47" s="6" t="s">
        <v>128</v>
      </c>
      <c r="C47" s="49">
        <v>1596000</v>
      </c>
      <c r="D47" s="62">
        <v>1596000</v>
      </c>
      <c r="E47" s="290">
        <v>781541</v>
      </c>
    </row>
    <row r="48" spans="1:5" ht="12" customHeight="1">
      <c r="A48" s="229" t="s">
        <v>69</v>
      </c>
      <c r="B48" s="6" t="s">
        <v>95</v>
      </c>
      <c r="C48" s="49">
        <v>12375000</v>
      </c>
      <c r="D48" s="62">
        <v>14925037</v>
      </c>
      <c r="E48" s="290">
        <v>6653602</v>
      </c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1000000</v>
      </c>
      <c r="D51" s="284">
        <f>SUM(D52:D54)</f>
        <v>1150000</v>
      </c>
      <c r="E51" s="166">
        <f>SUM(E52:E54)</f>
        <v>599280</v>
      </c>
    </row>
    <row r="52" spans="1:5" s="237" customFormat="1" ht="12" customHeight="1">
      <c r="A52" s="229" t="s">
        <v>73</v>
      </c>
      <c r="B52" s="7" t="s">
        <v>157</v>
      </c>
      <c r="C52" s="294">
        <v>800000</v>
      </c>
      <c r="D52" s="61">
        <v>950000</v>
      </c>
      <c r="E52" s="292">
        <v>599280</v>
      </c>
    </row>
    <row r="53" spans="1:5" ht="12" customHeight="1">
      <c r="A53" s="229" t="s">
        <v>74</v>
      </c>
      <c r="B53" s="6" t="s">
        <v>132</v>
      </c>
      <c r="C53" s="49">
        <v>200000</v>
      </c>
      <c r="D53" s="62">
        <v>200000</v>
      </c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23436000</v>
      </c>
      <c r="D57" s="341">
        <f>+D45+D51+D56</f>
        <v>26136037</v>
      </c>
      <c r="E57" s="169">
        <f>+E45+E51+E56</f>
        <v>12042323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C00000"/>
  </sheetPr>
  <dimension ref="A1:E60"/>
  <sheetViews>
    <sheetView zoomScale="120" zoomScaleNormal="120" workbookViewId="0">
      <selection activeCell="B2" sqref="B2:D2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CONCATENATE("9.5.1. melléklet ",IB_ALAPADATOK!A7," ",IB_ALAPADATOK!B7," ",IB_ALAPADATOK!C7," ",IB_ALAPADATOK!D7)</f>
        <v xml:space="preserve">9.5.1.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CONCATENATE('9.5.sz.mell'!B2:D2)</f>
        <v>Borsodnádasdi Közösségi Ház és Könyvtár</v>
      </c>
      <c r="C2" s="537"/>
      <c r="D2" s="538"/>
      <c r="E2" s="410" t="s">
        <v>546</v>
      </c>
    </row>
    <row r="3" spans="1:5" s="233" customFormat="1" ht="24.75" thickBot="1">
      <c r="A3" s="409" t="s">
        <v>141</v>
      </c>
      <c r="B3" s="536" t="s">
        <v>338</v>
      </c>
      <c r="C3" s="537"/>
      <c r="D3" s="538"/>
      <c r="E3" s="410" t="s">
        <v>46</v>
      </c>
    </row>
    <row r="4" spans="1:5" s="234" customFormat="1" ht="15.95" customHeight="1" thickBot="1">
      <c r="A4" s="411"/>
      <c r="B4" s="411"/>
      <c r="C4" s="412"/>
      <c r="D4" s="413"/>
      <c r="E4" s="412" t="str">
        <f>'9.5.sz.mell'!E4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397000</v>
      </c>
      <c r="D8" s="138">
        <f>SUM(D9:D19)</f>
        <v>502000</v>
      </c>
      <c r="E8" s="140">
        <f>SUM(E9:E19)</f>
        <v>58600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>
        <v>397000</v>
      </c>
      <c r="D10" s="282">
        <v>502000</v>
      </c>
      <c r="E10" s="287">
        <v>58600</v>
      </c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397000</v>
      </c>
      <c r="D36" s="284">
        <f>+D8+D20+D25+D26+D30+D34+D35</f>
        <v>502000</v>
      </c>
      <c r="E36" s="166">
        <f>+E8+E20+E25+E26+E30+E34+E35</f>
        <v>58600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23039000</v>
      </c>
      <c r="D37" s="284">
        <f>+D38+D39+D40</f>
        <v>25634037</v>
      </c>
      <c r="E37" s="166">
        <f>+E38+E39+E40</f>
        <v>12389665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>
        <v>2595037</v>
      </c>
      <c r="E38" s="292">
        <v>2595037</v>
      </c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>
        <v>23039000</v>
      </c>
      <c r="D40" s="348">
        <v>23039000</v>
      </c>
      <c r="E40" s="343">
        <v>9794628</v>
      </c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23436000</v>
      </c>
      <c r="D41" s="341">
        <f>+D36+D37</f>
        <v>26136037</v>
      </c>
      <c r="E41" s="169">
        <f>+E36+E37</f>
        <v>12448265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22436000</v>
      </c>
      <c r="D45" s="284">
        <f>SUM(D46:D50)</f>
        <v>24986037</v>
      </c>
      <c r="E45" s="166">
        <f>SUM(E46:E50)</f>
        <v>11443043</v>
      </c>
    </row>
    <row r="46" spans="1:5" ht="12" customHeight="1">
      <c r="A46" s="229" t="s">
        <v>67</v>
      </c>
      <c r="B46" s="7" t="s">
        <v>38</v>
      </c>
      <c r="C46" s="294">
        <v>8465000</v>
      </c>
      <c r="D46" s="61">
        <v>8465000</v>
      </c>
      <c r="E46" s="292">
        <v>4007900</v>
      </c>
    </row>
    <row r="47" spans="1:5" ht="12" customHeight="1">
      <c r="A47" s="229" t="s">
        <v>68</v>
      </c>
      <c r="B47" s="6" t="s">
        <v>128</v>
      </c>
      <c r="C47" s="49">
        <v>1596000</v>
      </c>
      <c r="D47" s="62">
        <v>1596000</v>
      </c>
      <c r="E47" s="290">
        <v>781541</v>
      </c>
    </row>
    <row r="48" spans="1:5" ht="12" customHeight="1">
      <c r="A48" s="229" t="s">
        <v>69</v>
      </c>
      <c r="B48" s="6" t="s">
        <v>95</v>
      </c>
      <c r="C48" s="49">
        <v>12375000</v>
      </c>
      <c r="D48" s="62">
        <v>14925037</v>
      </c>
      <c r="E48" s="290">
        <v>6653602</v>
      </c>
    </row>
    <row r="49" spans="1:5" ht="12" customHeight="1">
      <c r="A49" s="229" t="s">
        <v>70</v>
      </c>
      <c r="B49" s="6" t="s">
        <v>129</v>
      </c>
      <c r="C49" s="49"/>
      <c r="D49" s="62"/>
      <c r="E49" s="468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1000000</v>
      </c>
      <c r="D51" s="284">
        <f>SUM(D52:D54)</f>
        <v>1150000</v>
      </c>
      <c r="E51" s="166">
        <f>SUM(E52:E54)</f>
        <v>599280</v>
      </c>
    </row>
    <row r="52" spans="1:5" s="237" customFormat="1" ht="12" customHeight="1">
      <c r="A52" s="229" t="s">
        <v>73</v>
      </c>
      <c r="B52" s="7" t="s">
        <v>157</v>
      </c>
      <c r="C52" s="294">
        <v>800000</v>
      </c>
      <c r="D52" s="61">
        <v>950000</v>
      </c>
      <c r="E52" s="292">
        <v>599280</v>
      </c>
    </row>
    <row r="53" spans="1:5" ht="12" customHeight="1">
      <c r="A53" s="229" t="s">
        <v>74</v>
      </c>
      <c r="B53" s="6" t="s">
        <v>132</v>
      </c>
      <c r="C53" s="49">
        <v>200000</v>
      </c>
      <c r="D53" s="62">
        <v>200000</v>
      </c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23436000</v>
      </c>
      <c r="D57" s="341">
        <f>+D45+D51+D56</f>
        <v>26136037</v>
      </c>
      <c r="E57" s="169">
        <f>+E45+E51+E56</f>
        <v>12042323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C8" sqref="C8:E41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CONCATENATE("6.5.2. melléklet ",IB_ALAPADATOK!A7," ",IB_ALAPADATOK!B7," ",IB_ALAPADATOK!C7," ",IB_ALAPADATOK!D7)</f>
        <v xml:space="preserve">6.5.2.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CONCATENATE('9.5.1.sz.mell'!B2:D2)</f>
        <v>Borsodnádasdi Közösségi Ház és Könyvtár</v>
      </c>
      <c r="C2" s="537"/>
      <c r="D2" s="538"/>
      <c r="E2" s="410" t="s">
        <v>546</v>
      </c>
    </row>
    <row r="3" spans="1:5" s="233" customFormat="1" ht="24.75" thickBot="1">
      <c r="A3" s="409" t="s">
        <v>141</v>
      </c>
      <c r="B3" s="536" t="s">
        <v>339</v>
      </c>
      <c r="C3" s="537"/>
      <c r="D3" s="538"/>
      <c r="E3" s="410" t="s">
        <v>47</v>
      </c>
    </row>
    <row r="4" spans="1:5" s="234" customFormat="1" ht="15.95" customHeight="1" thickBot="1">
      <c r="A4" s="411"/>
      <c r="B4" s="411"/>
      <c r="C4" s="412"/>
      <c r="D4" s="413"/>
      <c r="E4" s="412" t="str">
        <f>'9.5.1.sz.mell'!E4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397000</v>
      </c>
      <c r="D8" s="138">
        <f>SUM(D9:D19)</f>
        <v>502000</v>
      </c>
      <c r="E8" s="140">
        <f>SUM(E9:E19)</f>
        <v>58600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>
        <v>397000</v>
      </c>
      <c r="D10" s="282">
        <v>502000</v>
      </c>
      <c r="E10" s="287">
        <v>58600</v>
      </c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397000</v>
      </c>
      <c r="D36" s="284">
        <f>+D8+D20+D25+D26+D30+D34+D35</f>
        <v>502000</v>
      </c>
      <c r="E36" s="166">
        <f>+E8+E20+E25+E26+E30+E34+E35</f>
        <v>58600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23039000</v>
      </c>
      <c r="D37" s="284">
        <f>+D38+D39+D40</f>
        <v>25634037</v>
      </c>
      <c r="E37" s="166">
        <f>+E38+E39+E40</f>
        <v>12389665</v>
      </c>
    </row>
    <row r="38" spans="1:5" s="171" customFormat="1" ht="12" customHeight="1">
      <c r="A38" s="230" t="s">
        <v>331</v>
      </c>
      <c r="B38" s="231" t="s">
        <v>163</v>
      </c>
      <c r="C38" s="294">
        <v>0</v>
      </c>
      <c r="D38" s="61">
        <v>2595037</v>
      </c>
      <c r="E38" s="292">
        <v>2595037</v>
      </c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>
        <v>23039000</v>
      </c>
      <c r="D40" s="348">
        <v>23039000</v>
      </c>
      <c r="E40" s="343">
        <v>9794628</v>
      </c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23436000</v>
      </c>
      <c r="D41" s="341">
        <f>+D36+D37</f>
        <v>26136037</v>
      </c>
      <c r="E41" s="169">
        <f>+E36+E37</f>
        <v>12448265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22436000</v>
      </c>
      <c r="D45" s="284">
        <f>SUM(D46:D50)</f>
        <v>24986037</v>
      </c>
      <c r="E45" s="166">
        <f>SUM(E46:E50)</f>
        <v>11443043</v>
      </c>
    </row>
    <row r="46" spans="1:5" ht="12" customHeight="1">
      <c r="A46" s="229" t="s">
        <v>67</v>
      </c>
      <c r="B46" s="7" t="s">
        <v>38</v>
      </c>
      <c r="C46" s="294">
        <v>8465000</v>
      </c>
      <c r="D46" s="61">
        <v>8465000</v>
      </c>
      <c r="E46" s="292">
        <v>4007900</v>
      </c>
    </row>
    <row r="47" spans="1:5" ht="12" customHeight="1">
      <c r="A47" s="229" t="s">
        <v>68</v>
      </c>
      <c r="B47" s="6" t="s">
        <v>128</v>
      </c>
      <c r="C47" s="49">
        <v>1596000</v>
      </c>
      <c r="D47" s="62">
        <v>1596000</v>
      </c>
      <c r="E47" s="290">
        <v>781541</v>
      </c>
    </row>
    <row r="48" spans="1:5" ht="12" customHeight="1">
      <c r="A48" s="229" t="s">
        <v>69</v>
      </c>
      <c r="B48" s="6" t="s">
        <v>95</v>
      </c>
      <c r="C48" s="49">
        <v>12375000</v>
      </c>
      <c r="D48" s="62">
        <v>14925037</v>
      </c>
      <c r="E48" s="290">
        <v>6653602</v>
      </c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1000000</v>
      </c>
      <c r="D51" s="284">
        <f>SUM(D52:D54)</f>
        <v>1150000</v>
      </c>
      <c r="E51" s="166">
        <f>SUM(E52:E54)</f>
        <v>599280</v>
      </c>
    </row>
    <row r="52" spans="1:5" s="237" customFormat="1" ht="12" customHeight="1">
      <c r="A52" s="229" t="s">
        <v>73</v>
      </c>
      <c r="B52" s="7" t="s">
        <v>157</v>
      </c>
      <c r="C52" s="294">
        <v>800000</v>
      </c>
      <c r="D52" s="61">
        <v>950000</v>
      </c>
      <c r="E52" s="292">
        <v>599280</v>
      </c>
    </row>
    <row r="53" spans="1:5" ht="12" customHeight="1">
      <c r="A53" s="229" t="s">
        <v>74</v>
      </c>
      <c r="B53" s="6" t="s">
        <v>132</v>
      </c>
      <c r="C53" s="49">
        <v>200000</v>
      </c>
      <c r="D53" s="62">
        <v>200000</v>
      </c>
      <c r="E53" s="290">
        <v>0</v>
      </c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23436000</v>
      </c>
      <c r="D57" s="341">
        <f>+D45+D51+D56</f>
        <v>26136037</v>
      </c>
      <c r="E57" s="169">
        <f>+E45+E51+E56</f>
        <v>12042323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CONCATENATE("6.5.3. melléklet ",IB_ALAPADATOK!A7," ",IB_ALAPADATOK!B7," ",IB_ALAPADATOK!C7," ",IB_ALAPADATOK!D7)</f>
        <v xml:space="preserve">6.5.3.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CONCATENATE(IB_6.5.2.sz.mell!B2:D2)</f>
        <v>Borsodnádasdi Közösségi Ház és Könyvtár</v>
      </c>
      <c r="C2" s="537"/>
      <c r="D2" s="538"/>
      <c r="E2" s="410" t="s">
        <v>546</v>
      </c>
    </row>
    <row r="3" spans="1:5" s="233" customFormat="1" ht="24.75" thickBot="1">
      <c r="A3" s="409" t="s">
        <v>141</v>
      </c>
      <c r="B3" s="536" t="s">
        <v>434</v>
      </c>
      <c r="C3" s="537"/>
      <c r="D3" s="538"/>
      <c r="E3" s="410" t="s">
        <v>348</v>
      </c>
    </row>
    <row r="4" spans="1:5" s="234" customFormat="1" ht="15.95" customHeight="1" thickBot="1">
      <c r="A4" s="411"/>
      <c r="B4" s="411"/>
      <c r="C4" s="412"/>
      <c r="D4" s="413"/>
      <c r="E4" s="412" t="str">
        <f>IB_6.5.2.sz.mell!E4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34" t="str">
        <f>CONCATENATE("6.6. melléklet ",IB_ALAPADATOK!A7," ",IB_ALAPADATOK!B7," ",IB_ALAPADATOK!C7," ",IB_ALAPADATOK!D7)</f>
        <v xml:space="preserve">6.6. melléklet a 7/2019.(X.09.)  önkormányzati rendelethez </v>
      </c>
      <c r="C1" s="535"/>
      <c r="D1" s="535"/>
      <c r="E1" s="535"/>
    </row>
    <row r="2" spans="1:5" s="233" customFormat="1" ht="24.75" thickBot="1">
      <c r="A2" s="409" t="s">
        <v>479</v>
      </c>
      <c r="B2" s="536" t="str">
        <f>CONCATENATE(IB_ALAPADATOK!B19)</f>
        <v>4 kvi név</v>
      </c>
      <c r="C2" s="537"/>
      <c r="D2" s="538"/>
      <c r="E2" s="410" t="s">
        <v>547</v>
      </c>
    </row>
    <row r="3" spans="1:5" s="233" customFormat="1" ht="24.75" thickBot="1">
      <c r="A3" s="409" t="s">
        <v>141</v>
      </c>
      <c r="B3" s="536" t="s">
        <v>319</v>
      </c>
      <c r="C3" s="537"/>
      <c r="D3" s="538"/>
      <c r="E3" s="410" t="s">
        <v>42</v>
      </c>
    </row>
    <row r="4" spans="1:5" s="234" customFormat="1" ht="15.95" customHeight="1" thickBot="1">
      <c r="A4" s="411"/>
      <c r="B4" s="411"/>
      <c r="C4" s="412"/>
      <c r="D4" s="413"/>
      <c r="E4" s="412" t="str">
        <f>'9.2.3.sz.mell'!E4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CONCATENATE("6.6.1. melléklet ",IB_ALAPADATOK!A7," ",IB_ALAPADATOK!B7," ",IB_ALAPADATOK!C7," ",IB_ALAPADATOK!D7)</f>
        <v xml:space="preserve">6.6.1.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CONCATENATE(IB_6.6.sz.mell!B2:D2)</f>
        <v>4 kvi név</v>
      </c>
      <c r="C2" s="537"/>
      <c r="D2" s="538"/>
      <c r="E2" s="410" t="s">
        <v>547</v>
      </c>
    </row>
    <row r="3" spans="1:5" s="233" customFormat="1" ht="24.75" thickBot="1">
      <c r="A3" s="409" t="s">
        <v>141</v>
      </c>
      <c r="B3" s="536" t="s">
        <v>338</v>
      </c>
      <c r="C3" s="537"/>
      <c r="D3" s="538"/>
      <c r="E3" s="410" t="s">
        <v>46</v>
      </c>
    </row>
    <row r="4" spans="1:5" s="234" customFormat="1" ht="15.95" customHeight="1" thickBot="1">
      <c r="A4" s="411"/>
      <c r="B4" s="411"/>
      <c r="C4" s="412"/>
      <c r="D4" s="413"/>
      <c r="E4" s="412" t="str">
        <f>IB_6.6.sz.mell!E4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CONCATENATE("6.6.2. melléklet ",IB_ALAPADATOK!A7," ",IB_ALAPADATOK!B7," ",IB_ALAPADATOK!C7," ",IB_ALAPADATOK!D7)</f>
        <v xml:space="preserve">6.6.2.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CONCATENATE(IB_6.6.1.sz.mell!B2:D2)</f>
        <v>4 kvi név</v>
      </c>
      <c r="C2" s="537"/>
      <c r="D2" s="538"/>
      <c r="E2" s="410" t="s">
        <v>547</v>
      </c>
    </row>
    <row r="3" spans="1:5" s="233" customFormat="1" ht="24.75" thickBot="1">
      <c r="A3" s="409" t="s">
        <v>141</v>
      </c>
      <c r="B3" s="536" t="s">
        <v>339</v>
      </c>
      <c r="C3" s="537"/>
      <c r="D3" s="538"/>
      <c r="E3" s="410" t="s">
        <v>47</v>
      </c>
    </row>
    <row r="4" spans="1:5" s="234" customFormat="1" ht="15.95" customHeight="1" thickBot="1">
      <c r="A4" s="411"/>
      <c r="B4" s="411"/>
      <c r="C4" s="412"/>
      <c r="D4" s="413"/>
      <c r="E4" s="412" t="str">
        <f>IB_6.6.1.sz.mell!E4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CONCATENATE("6.6.3. melléklet ",IB_ALAPADATOK!A7," ",IB_ALAPADATOK!B7," ",IB_ALAPADATOK!C7," ",IB_ALAPADATOK!D7)</f>
        <v xml:space="preserve">6.6.3.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CONCATENATE(IB_6.6.2.sz.mell!B2:D2)</f>
        <v>4 kvi név</v>
      </c>
      <c r="C2" s="537"/>
      <c r="D2" s="538"/>
      <c r="E2" s="410" t="s">
        <v>547</v>
      </c>
    </row>
    <row r="3" spans="1:5" s="233" customFormat="1" ht="24.75" thickBot="1">
      <c r="A3" s="409" t="s">
        <v>141</v>
      </c>
      <c r="B3" s="536" t="s">
        <v>434</v>
      </c>
      <c r="C3" s="537"/>
      <c r="D3" s="538"/>
      <c r="E3" s="410" t="s">
        <v>348</v>
      </c>
    </row>
    <row r="4" spans="1:5" s="234" customFormat="1" ht="15.95" customHeight="1" thickBot="1">
      <c r="A4" s="411"/>
      <c r="B4" s="411"/>
      <c r="C4" s="412"/>
      <c r="D4" s="413"/>
      <c r="E4" s="412" t="str">
        <f>IB_6.6.2.sz.mell!E4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34" t="str">
        <f>CONCATENATE("6.7. melléklet ",IB_ALAPADATOK!A7," ",IB_ALAPADATOK!B7," ",IB_ALAPADATOK!C7," ",IB_ALAPADATOK!D7)</f>
        <v xml:space="preserve">6.7. melléklet a 7/2019.(X.09.)  önkormányzati rendelethez </v>
      </c>
      <c r="C1" s="535"/>
      <c r="D1" s="535"/>
      <c r="E1" s="535"/>
    </row>
    <row r="2" spans="1:5" s="233" customFormat="1" ht="25.5" customHeight="1" thickBot="1">
      <c r="A2" s="409" t="s">
        <v>479</v>
      </c>
      <c r="B2" s="536" t="str">
        <f>CONCATENATE(IB_ALAPADATOK!B21)</f>
        <v>Borsodnádasdi Közösségi Ház és Könyvtár</v>
      </c>
      <c r="C2" s="537"/>
      <c r="D2" s="538"/>
      <c r="E2" s="410" t="s">
        <v>548</v>
      </c>
    </row>
    <row r="3" spans="1:5" s="233" customFormat="1" ht="24.75" thickBot="1">
      <c r="A3" s="409" t="s">
        <v>141</v>
      </c>
      <c r="B3" s="536" t="s">
        <v>319</v>
      </c>
      <c r="C3" s="537"/>
      <c r="D3" s="538"/>
      <c r="E3" s="410" t="s">
        <v>42</v>
      </c>
    </row>
    <row r="4" spans="1:5" s="234" customFormat="1" ht="15.95" customHeight="1" thickBot="1">
      <c r="A4" s="411"/>
      <c r="B4" s="411"/>
      <c r="C4" s="412"/>
      <c r="D4" s="413"/>
      <c r="E4" s="412" t="str">
        <f>'9.2.3.sz.mell'!E4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CONCATENATE("6.7.1. melléklet ",IB_ALAPADATOK!A7," ",IB_ALAPADATOK!B7," ",IB_ALAPADATOK!C7," ",IB_ALAPADATOK!D7)</f>
        <v xml:space="preserve">6.7.1.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CONCATENATE(IB_6.7.sz.mell!B2:D2)</f>
        <v>Borsodnádasdi Közösségi Ház és Könyvtár</v>
      </c>
      <c r="C2" s="537"/>
      <c r="D2" s="538"/>
      <c r="E2" s="410" t="s">
        <v>548</v>
      </c>
    </row>
    <row r="3" spans="1:5" s="233" customFormat="1" ht="24.75" thickBot="1">
      <c r="A3" s="409" t="s">
        <v>141</v>
      </c>
      <c r="B3" s="536" t="s">
        <v>338</v>
      </c>
      <c r="C3" s="537"/>
      <c r="D3" s="538"/>
      <c r="E3" s="410" t="s">
        <v>46</v>
      </c>
    </row>
    <row r="4" spans="1:5" s="234" customFormat="1" ht="15.95" customHeight="1" thickBot="1">
      <c r="A4" s="411"/>
      <c r="B4" s="411"/>
      <c r="C4" s="412"/>
      <c r="D4" s="413"/>
      <c r="E4" s="412" t="str">
        <f>IB_6.7.sz.mell!E4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2">
    <tabColor rgb="FFFF0000"/>
  </sheetPr>
  <dimension ref="A1:I166"/>
  <sheetViews>
    <sheetView zoomScale="120" zoomScaleNormal="120" zoomScaleSheetLayoutView="100" workbookViewId="0">
      <selection activeCell="C153" sqref="C153"/>
    </sheetView>
  </sheetViews>
  <sheetFormatPr defaultRowHeight="15.75"/>
  <cols>
    <col min="1" max="1" width="9.5" style="173" customWidth="1"/>
    <col min="2" max="2" width="65.83203125" style="173" customWidth="1"/>
    <col min="3" max="3" width="17.83203125" style="174" customWidth="1"/>
    <col min="4" max="5" width="17.83203125" style="195" customWidth="1"/>
    <col min="6" max="16384" width="9.33203125" style="195"/>
  </cols>
  <sheetData>
    <row r="1" spans="1:5">
      <c r="A1" s="401"/>
      <c r="B1" s="477" t="str">
        <f>CONCATENATE("1.1. melléklet ",IB_ALAPADATOK!A7," ",IB_ALAPADATOK!B7," ",IB_ALAPADATOK!C7," ",IB_ALAPADATOK!D7)</f>
        <v xml:space="preserve">1.1. melléklet a 7/2019.(X.09.)  önkormányzati rendelethez </v>
      </c>
      <c r="C1" s="478"/>
      <c r="D1" s="478"/>
      <c r="E1" s="478"/>
    </row>
    <row r="2" spans="1:5">
      <c r="A2" s="479" t="str">
        <f>CONCATENATE(IB_ALAPADATOK!A3)</f>
        <v>BORSODNÁDASD VÁROS ÖNKORMÁNYZATA</v>
      </c>
      <c r="B2" s="480"/>
      <c r="C2" s="480"/>
      <c r="D2" s="480"/>
      <c r="E2" s="480"/>
    </row>
    <row r="3" spans="1:5">
      <c r="A3" s="479" t="str">
        <f>CONCATENATE("Tájékoztatató a ",IB_ALAPADATOK!B7," évi költségvetés  ",IB_ALAPADATOK!C8," alakulásáról")</f>
        <v>Tájékoztatató a 7/2019.(X.09.) évi költségvetés  III. negyedéves alakulásáról</v>
      </c>
      <c r="B3" s="479"/>
      <c r="C3" s="481"/>
      <c r="D3" s="479"/>
      <c r="E3" s="479"/>
    </row>
    <row r="4" spans="1:5">
      <c r="A4" s="479" t="s">
        <v>539</v>
      </c>
      <c r="B4" s="479"/>
      <c r="C4" s="481"/>
      <c r="D4" s="479"/>
      <c r="E4" s="479"/>
    </row>
    <row r="5" spans="1:5">
      <c r="A5" s="401"/>
      <c r="B5" s="401"/>
      <c r="C5" s="402"/>
      <c r="D5" s="403"/>
      <c r="E5" s="403"/>
    </row>
    <row r="6" spans="1:5" ht="15.95" customHeight="1">
      <c r="A6" s="491" t="s">
        <v>6</v>
      </c>
      <c r="B6" s="491"/>
      <c r="C6" s="491"/>
      <c r="D6" s="491"/>
      <c r="E6" s="491"/>
    </row>
    <row r="7" spans="1:5" ht="15.95" customHeight="1" thickBot="1">
      <c r="A7" s="493" t="s">
        <v>106</v>
      </c>
      <c r="B7" s="493"/>
      <c r="C7" s="404"/>
      <c r="D7" s="403"/>
      <c r="E7" s="404" t="s">
        <v>514</v>
      </c>
    </row>
    <row r="8" spans="1:5">
      <c r="A8" s="483" t="s">
        <v>55</v>
      </c>
      <c r="B8" s="485" t="s">
        <v>8</v>
      </c>
      <c r="C8" s="487" t="str">
        <f>+CONCATENATE(LEFT(IB_ÖSSZEFÜGGÉSEK!A6,4),". évi")</f>
        <v>2019. évi</v>
      </c>
      <c r="D8" s="488"/>
      <c r="E8" s="489"/>
    </row>
    <row r="9" spans="1:5" ht="24.75" thickBot="1">
      <c r="A9" s="484"/>
      <c r="B9" s="486"/>
      <c r="C9" s="270" t="s">
        <v>437</v>
      </c>
      <c r="D9" s="269" t="s">
        <v>438</v>
      </c>
      <c r="E9" s="390" t="str">
        <f>+CONCATENATE(LEFT(IB_ÖSSZEFÜGGÉSEK!A6,4),". VI. 30.",CHAR(10),"teljesítés")</f>
        <v>2019. VI. 30.
teljesítés</v>
      </c>
    </row>
    <row r="10" spans="1:5" s="196" customFormat="1" ht="12" customHeight="1" thickBot="1">
      <c r="A10" s="192" t="s">
        <v>404</v>
      </c>
      <c r="B10" s="193" t="s">
        <v>405</v>
      </c>
      <c r="C10" s="193" t="s">
        <v>406</v>
      </c>
      <c r="D10" s="193" t="s">
        <v>408</v>
      </c>
      <c r="E10" s="271" t="s">
        <v>407</v>
      </c>
    </row>
    <row r="11" spans="1:5" s="197" customFormat="1" ht="12" customHeight="1" thickBot="1">
      <c r="A11" s="18" t="s">
        <v>9</v>
      </c>
      <c r="B11" s="19" t="s">
        <v>175</v>
      </c>
      <c r="C11" s="185">
        <f>+C12+C13+C14+C15+C16+C17</f>
        <v>306357706</v>
      </c>
      <c r="D11" s="185">
        <f>+D12+D13+D14+D15+D16+D17</f>
        <v>314679085</v>
      </c>
      <c r="E11" s="121">
        <f>+E12+E13+E14+E15+E16+E17</f>
        <v>166864604</v>
      </c>
    </row>
    <row r="12" spans="1:5" s="197" customFormat="1" ht="12" customHeight="1">
      <c r="A12" s="13" t="s">
        <v>67</v>
      </c>
      <c r="B12" s="198" t="s">
        <v>176</v>
      </c>
      <c r="C12" s="187">
        <v>141842122</v>
      </c>
      <c r="D12" s="187">
        <v>141842122</v>
      </c>
      <c r="E12" s="123">
        <v>73753225</v>
      </c>
    </row>
    <row r="13" spans="1:5" s="197" customFormat="1" ht="12" customHeight="1">
      <c r="A13" s="12" t="s">
        <v>68</v>
      </c>
      <c r="B13" s="199" t="s">
        <v>177</v>
      </c>
      <c r="C13" s="186">
        <v>56461300</v>
      </c>
      <c r="D13" s="186">
        <v>56461300</v>
      </c>
      <c r="E13" s="122">
        <v>28601771</v>
      </c>
    </row>
    <row r="14" spans="1:5" s="197" customFormat="1" ht="12" customHeight="1">
      <c r="A14" s="12" t="s">
        <v>69</v>
      </c>
      <c r="B14" s="199" t="s">
        <v>178</v>
      </c>
      <c r="C14" s="186">
        <v>104266984</v>
      </c>
      <c r="D14" s="186">
        <v>106451677</v>
      </c>
      <c r="E14" s="122">
        <v>56403526</v>
      </c>
    </row>
    <row r="15" spans="1:5" s="197" customFormat="1" ht="12" customHeight="1">
      <c r="A15" s="12" t="s">
        <v>70</v>
      </c>
      <c r="B15" s="199" t="s">
        <v>179</v>
      </c>
      <c r="C15" s="186">
        <v>3787300</v>
      </c>
      <c r="D15" s="186">
        <v>4043986</v>
      </c>
      <c r="E15" s="122">
        <v>2226082</v>
      </c>
    </row>
    <row r="16" spans="1:5" s="197" customFormat="1" ht="12" customHeight="1">
      <c r="A16" s="12" t="s">
        <v>102</v>
      </c>
      <c r="B16" s="129" t="s">
        <v>349</v>
      </c>
      <c r="C16" s="186"/>
      <c r="D16" s="186">
        <v>5880000</v>
      </c>
      <c r="E16" s="122">
        <v>5880000</v>
      </c>
    </row>
    <row r="17" spans="1:5" s="197" customFormat="1" ht="12" customHeight="1" thickBot="1">
      <c r="A17" s="14" t="s">
        <v>71</v>
      </c>
      <c r="B17" s="130" t="s">
        <v>350</v>
      </c>
      <c r="C17" s="186"/>
      <c r="D17" s="186"/>
      <c r="E17" s="122"/>
    </row>
    <row r="18" spans="1:5" s="197" customFormat="1" ht="12" customHeight="1" thickBot="1">
      <c r="A18" s="18" t="s">
        <v>10</v>
      </c>
      <c r="B18" s="128" t="s">
        <v>180</v>
      </c>
      <c r="C18" s="185">
        <f>+C19+C20+C21+C22+C23</f>
        <v>16055000</v>
      </c>
      <c r="D18" s="185">
        <f>+D19+D20+D21+D22+D23</f>
        <v>78172403</v>
      </c>
      <c r="E18" s="121">
        <f>+E19+E20+E21+E22+E23</f>
        <v>75424950</v>
      </c>
    </row>
    <row r="19" spans="1:5" s="197" customFormat="1" ht="12" customHeight="1">
      <c r="A19" s="13" t="s">
        <v>73</v>
      </c>
      <c r="B19" s="198" t="s">
        <v>181</v>
      </c>
      <c r="C19" s="187"/>
      <c r="D19" s="187"/>
      <c r="E19" s="123"/>
    </row>
    <row r="20" spans="1:5" s="197" customFormat="1" ht="12" customHeight="1">
      <c r="A20" s="12" t="s">
        <v>74</v>
      </c>
      <c r="B20" s="199" t="s">
        <v>182</v>
      </c>
      <c r="C20" s="186"/>
      <c r="D20" s="186"/>
      <c r="E20" s="122"/>
    </row>
    <row r="21" spans="1:5" s="197" customFormat="1" ht="12" customHeight="1">
      <c r="A21" s="12" t="s">
        <v>75</v>
      </c>
      <c r="B21" s="199" t="s">
        <v>341</v>
      </c>
      <c r="C21" s="186"/>
      <c r="D21" s="186"/>
      <c r="E21" s="122"/>
    </row>
    <row r="22" spans="1:5" s="197" customFormat="1" ht="12" customHeight="1">
      <c r="A22" s="12" t="s">
        <v>76</v>
      </c>
      <c r="B22" s="199" t="s">
        <v>342</v>
      </c>
      <c r="C22" s="186"/>
      <c r="D22" s="186"/>
      <c r="E22" s="122"/>
    </row>
    <row r="23" spans="1:5" s="197" customFormat="1" ht="12" customHeight="1">
      <c r="A23" s="12" t="s">
        <v>77</v>
      </c>
      <c r="B23" s="199" t="s">
        <v>183</v>
      </c>
      <c r="C23" s="186">
        <v>16055000</v>
      </c>
      <c r="D23" s="186">
        <v>78172403</v>
      </c>
      <c r="E23" s="122">
        <v>75424950</v>
      </c>
    </row>
    <row r="24" spans="1:5" s="197" customFormat="1" ht="12" customHeight="1" thickBot="1">
      <c r="A24" s="14" t="s">
        <v>84</v>
      </c>
      <c r="B24" s="130" t="s">
        <v>184</v>
      </c>
      <c r="C24" s="188"/>
      <c r="D24" s="188"/>
      <c r="E24" s="124"/>
    </row>
    <row r="25" spans="1:5" s="197" customFormat="1" ht="12" customHeight="1" thickBot="1">
      <c r="A25" s="18" t="s">
        <v>11</v>
      </c>
      <c r="B25" s="19" t="s">
        <v>185</v>
      </c>
      <c r="C25" s="185">
        <f>+C26+C27+C28+C29+C30</f>
        <v>0</v>
      </c>
      <c r="D25" s="185">
        <f>+D26+D27+D28+D29+D30</f>
        <v>966322710</v>
      </c>
      <c r="E25" s="121">
        <f>+E26+E27+E28+E29+E30</f>
        <v>966322710</v>
      </c>
    </row>
    <row r="26" spans="1:5" s="197" customFormat="1" ht="12" customHeight="1">
      <c r="A26" s="13" t="s">
        <v>56</v>
      </c>
      <c r="B26" s="198" t="s">
        <v>186</v>
      </c>
      <c r="C26" s="187"/>
      <c r="D26" s="187">
        <v>0</v>
      </c>
      <c r="E26" s="123">
        <v>0</v>
      </c>
    </row>
    <row r="27" spans="1:5" s="197" customFormat="1" ht="12" customHeight="1">
      <c r="A27" s="12" t="s">
        <v>57</v>
      </c>
      <c r="B27" s="199" t="s">
        <v>187</v>
      </c>
      <c r="C27" s="186"/>
      <c r="D27" s="186"/>
      <c r="E27" s="122"/>
    </row>
    <row r="28" spans="1:5" s="197" customFormat="1" ht="12" customHeight="1">
      <c r="A28" s="12" t="s">
        <v>58</v>
      </c>
      <c r="B28" s="199" t="s">
        <v>343</v>
      </c>
      <c r="C28" s="186"/>
      <c r="D28" s="186">
        <v>0</v>
      </c>
      <c r="E28" s="122">
        <v>0</v>
      </c>
    </row>
    <row r="29" spans="1:5" s="197" customFormat="1" ht="12" customHeight="1">
      <c r="A29" s="12" t="s">
        <v>59</v>
      </c>
      <c r="B29" s="199" t="s">
        <v>344</v>
      </c>
      <c r="C29" s="186"/>
      <c r="D29" s="186"/>
      <c r="E29" s="122"/>
    </row>
    <row r="30" spans="1:5" s="197" customFormat="1" ht="12" customHeight="1">
      <c r="A30" s="12" t="s">
        <v>116</v>
      </c>
      <c r="B30" s="199" t="s">
        <v>188</v>
      </c>
      <c r="C30" s="186"/>
      <c r="D30" s="186">
        <v>966322710</v>
      </c>
      <c r="E30" s="122">
        <v>966322710</v>
      </c>
    </row>
    <row r="31" spans="1:5" s="197" customFormat="1" ht="12" customHeight="1" thickBot="1">
      <c r="A31" s="14" t="s">
        <v>117</v>
      </c>
      <c r="B31" s="200" t="s">
        <v>189</v>
      </c>
      <c r="C31" s="188"/>
      <c r="D31" s="188"/>
      <c r="E31" s="124"/>
    </row>
    <row r="32" spans="1:5" s="197" customFormat="1" ht="12" customHeight="1" thickBot="1">
      <c r="A32" s="18" t="s">
        <v>118</v>
      </c>
      <c r="B32" s="19" t="s">
        <v>502</v>
      </c>
      <c r="C32" s="191">
        <f>SUM(C33:C39)</f>
        <v>25084500</v>
      </c>
      <c r="D32" s="191">
        <f>SUM(D33:D39)</f>
        <v>30158987</v>
      </c>
      <c r="E32" s="227">
        <f>SUM(E33:E39)</f>
        <v>10883138</v>
      </c>
    </row>
    <row r="33" spans="1:5" s="197" customFormat="1" ht="12" customHeight="1">
      <c r="A33" s="13" t="s">
        <v>190</v>
      </c>
      <c r="B33" s="198" t="s">
        <v>503</v>
      </c>
      <c r="C33" s="187"/>
      <c r="D33" s="187"/>
      <c r="E33" s="123"/>
    </row>
    <row r="34" spans="1:5" s="197" customFormat="1" ht="12" customHeight="1">
      <c r="A34" s="12" t="s">
        <v>191</v>
      </c>
      <c r="B34" s="199" t="s">
        <v>504</v>
      </c>
      <c r="C34" s="186"/>
      <c r="D34" s="186"/>
      <c r="E34" s="122"/>
    </row>
    <row r="35" spans="1:5" s="197" customFormat="1" ht="12" customHeight="1">
      <c r="A35" s="12" t="s">
        <v>192</v>
      </c>
      <c r="B35" s="199" t="s">
        <v>505</v>
      </c>
      <c r="C35" s="186">
        <v>19250000</v>
      </c>
      <c r="D35" s="186">
        <v>23982470</v>
      </c>
      <c r="E35" s="122">
        <v>8093610</v>
      </c>
    </row>
    <row r="36" spans="1:5" s="197" customFormat="1" ht="12" customHeight="1">
      <c r="A36" s="12" t="s">
        <v>193</v>
      </c>
      <c r="B36" s="199" t="s">
        <v>506</v>
      </c>
      <c r="C36" s="186"/>
      <c r="D36" s="186"/>
      <c r="E36" s="122"/>
    </row>
    <row r="37" spans="1:5" s="197" customFormat="1" ht="12" customHeight="1">
      <c r="A37" s="12" t="s">
        <v>507</v>
      </c>
      <c r="B37" s="199" t="s">
        <v>194</v>
      </c>
      <c r="C37" s="186">
        <v>5788500</v>
      </c>
      <c r="D37" s="186">
        <v>5788500</v>
      </c>
      <c r="E37" s="122">
        <v>2652003</v>
      </c>
    </row>
    <row r="38" spans="1:5" s="197" customFormat="1" ht="12" customHeight="1">
      <c r="A38" s="12" t="s">
        <v>508</v>
      </c>
      <c r="B38" s="199" t="s">
        <v>596</v>
      </c>
      <c r="C38" s="186"/>
      <c r="D38" s="186"/>
      <c r="E38" s="122"/>
    </row>
    <row r="39" spans="1:5" s="197" customFormat="1" ht="12" customHeight="1" thickBot="1">
      <c r="A39" s="14" t="s">
        <v>509</v>
      </c>
      <c r="B39" s="349" t="s">
        <v>195</v>
      </c>
      <c r="C39" s="188">
        <v>46000</v>
      </c>
      <c r="D39" s="188">
        <v>388017</v>
      </c>
      <c r="E39" s="124">
        <v>137525</v>
      </c>
    </row>
    <row r="40" spans="1:5" s="197" customFormat="1" ht="12" customHeight="1" thickBot="1">
      <c r="A40" s="18" t="s">
        <v>13</v>
      </c>
      <c r="B40" s="19" t="s">
        <v>351</v>
      </c>
      <c r="C40" s="185">
        <f>SUM(C41:C51)</f>
        <v>40857100</v>
      </c>
      <c r="D40" s="185">
        <f>SUM(D41:D51)</f>
        <v>48221637</v>
      </c>
      <c r="E40" s="121">
        <f>SUM(E41:E51)</f>
        <v>31015971</v>
      </c>
    </row>
    <row r="41" spans="1:5" s="197" customFormat="1" ht="12" customHeight="1">
      <c r="A41" s="13" t="s">
        <v>60</v>
      </c>
      <c r="B41" s="198" t="s">
        <v>198</v>
      </c>
      <c r="C41" s="187">
        <v>3814000</v>
      </c>
      <c r="D41" s="187">
        <v>3814000</v>
      </c>
      <c r="E41" s="123">
        <v>774351</v>
      </c>
    </row>
    <row r="42" spans="1:5" s="197" customFormat="1" ht="12" customHeight="1">
      <c r="A42" s="12" t="s">
        <v>61</v>
      </c>
      <c r="B42" s="199" t="s">
        <v>199</v>
      </c>
      <c r="C42" s="186">
        <v>9855500</v>
      </c>
      <c r="D42" s="186">
        <v>15863121</v>
      </c>
      <c r="E42" s="122">
        <v>14160628</v>
      </c>
    </row>
    <row r="43" spans="1:5" s="197" customFormat="1" ht="12" customHeight="1">
      <c r="A43" s="12" t="s">
        <v>62</v>
      </c>
      <c r="B43" s="199" t="s">
        <v>200</v>
      </c>
      <c r="C43" s="186"/>
      <c r="D43" s="186">
        <v>135136</v>
      </c>
      <c r="E43" s="122">
        <v>129876</v>
      </c>
    </row>
    <row r="44" spans="1:5" s="197" customFormat="1" ht="12" customHeight="1">
      <c r="A44" s="12" t="s">
        <v>120</v>
      </c>
      <c r="B44" s="199" t="s">
        <v>201</v>
      </c>
      <c r="C44" s="186"/>
      <c r="D44" s="186"/>
      <c r="E44" s="122"/>
    </row>
    <row r="45" spans="1:5" s="197" customFormat="1" ht="12" customHeight="1">
      <c r="A45" s="12" t="s">
        <v>121</v>
      </c>
      <c r="B45" s="199" t="s">
        <v>202</v>
      </c>
      <c r="C45" s="186">
        <v>18550500</v>
      </c>
      <c r="D45" s="186">
        <v>16675930</v>
      </c>
      <c r="E45" s="122">
        <v>8213577</v>
      </c>
    </row>
    <row r="46" spans="1:5" s="197" customFormat="1" ht="12" customHeight="1">
      <c r="A46" s="12" t="s">
        <v>122</v>
      </c>
      <c r="B46" s="199" t="s">
        <v>203</v>
      </c>
      <c r="C46" s="186">
        <v>8592100</v>
      </c>
      <c r="D46" s="186">
        <v>8592100</v>
      </c>
      <c r="E46" s="122">
        <v>5209629</v>
      </c>
    </row>
    <row r="47" spans="1:5" s="197" customFormat="1" ht="12" customHeight="1">
      <c r="A47" s="12" t="s">
        <v>123</v>
      </c>
      <c r="B47" s="199" t="s">
        <v>204</v>
      </c>
      <c r="C47" s="186"/>
      <c r="D47" s="186"/>
      <c r="E47" s="122"/>
    </row>
    <row r="48" spans="1:5" s="197" customFormat="1" ht="12" customHeight="1">
      <c r="A48" s="12" t="s">
        <v>124</v>
      </c>
      <c r="B48" s="199" t="s">
        <v>510</v>
      </c>
      <c r="C48" s="186">
        <v>45000</v>
      </c>
      <c r="D48" s="186">
        <v>51269</v>
      </c>
      <c r="E48" s="122">
        <v>24778</v>
      </c>
    </row>
    <row r="49" spans="1:5" s="197" customFormat="1" ht="12" customHeight="1">
      <c r="A49" s="12" t="s">
        <v>196</v>
      </c>
      <c r="B49" s="199" t="s">
        <v>206</v>
      </c>
      <c r="C49" s="189"/>
      <c r="D49" s="189">
        <v>282540</v>
      </c>
      <c r="E49" s="125">
        <v>282540</v>
      </c>
    </row>
    <row r="50" spans="1:5" s="197" customFormat="1" ht="12" customHeight="1">
      <c r="A50" s="14" t="s">
        <v>197</v>
      </c>
      <c r="B50" s="200" t="s">
        <v>353</v>
      </c>
      <c r="C50" s="190"/>
      <c r="D50" s="190">
        <v>124139</v>
      </c>
      <c r="E50" s="126">
        <v>124139</v>
      </c>
    </row>
    <row r="51" spans="1:5" s="197" customFormat="1" ht="12" customHeight="1" thickBot="1">
      <c r="A51" s="14" t="s">
        <v>352</v>
      </c>
      <c r="B51" s="130" t="s">
        <v>207</v>
      </c>
      <c r="C51" s="190"/>
      <c r="D51" s="190">
        <v>2683402</v>
      </c>
      <c r="E51" s="126">
        <v>2096453</v>
      </c>
    </row>
    <row r="52" spans="1:5" s="197" customFormat="1" ht="12" customHeight="1" thickBot="1">
      <c r="A52" s="18" t="s">
        <v>14</v>
      </c>
      <c r="B52" s="19" t="s">
        <v>208</v>
      </c>
      <c r="C52" s="185">
        <f>SUM(C53:C57)</f>
        <v>0</v>
      </c>
      <c r="D52" s="185">
        <f>SUM(D53:D57)</f>
        <v>1575</v>
      </c>
      <c r="E52" s="121">
        <f>SUM(E53:E57)</f>
        <v>1575</v>
      </c>
    </row>
    <row r="53" spans="1:5" s="197" customFormat="1" ht="12" customHeight="1">
      <c r="A53" s="13" t="s">
        <v>63</v>
      </c>
      <c r="B53" s="198" t="s">
        <v>212</v>
      </c>
      <c r="C53" s="238"/>
      <c r="D53" s="238"/>
      <c r="E53" s="127"/>
    </row>
    <row r="54" spans="1:5" s="197" customFormat="1" ht="12" customHeight="1">
      <c r="A54" s="12" t="s">
        <v>64</v>
      </c>
      <c r="B54" s="199" t="s">
        <v>213</v>
      </c>
      <c r="C54" s="189"/>
      <c r="D54" s="189"/>
      <c r="E54" s="125"/>
    </row>
    <row r="55" spans="1:5" s="197" customFormat="1" ht="12" customHeight="1">
      <c r="A55" s="12" t="s">
        <v>209</v>
      </c>
      <c r="B55" s="199" t="s">
        <v>214</v>
      </c>
      <c r="C55" s="189"/>
      <c r="D55" s="189">
        <v>1575</v>
      </c>
      <c r="E55" s="125">
        <v>1575</v>
      </c>
    </row>
    <row r="56" spans="1:5" s="197" customFormat="1" ht="12" customHeight="1">
      <c r="A56" s="12" t="s">
        <v>210</v>
      </c>
      <c r="B56" s="199" t="s">
        <v>215</v>
      </c>
      <c r="C56" s="189"/>
      <c r="D56" s="189"/>
      <c r="E56" s="125"/>
    </row>
    <row r="57" spans="1:5" s="197" customFormat="1" ht="12" customHeight="1" thickBot="1">
      <c r="A57" s="14" t="s">
        <v>211</v>
      </c>
      <c r="B57" s="130" t="s">
        <v>216</v>
      </c>
      <c r="C57" s="190"/>
      <c r="D57" s="190"/>
      <c r="E57" s="126"/>
    </row>
    <row r="58" spans="1:5" s="197" customFormat="1" ht="12" customHeight="1" thickBot="1">
      <c r="A58" s="18" t="s">
        <v>125</v>
      </c>
      <c r="B58" s="19" t="s">
        <v>217</v>
      </c>
      <c r="C58" s="185">
        <f>SUM(C59:C61)</f>
        <v>0</v>
      </c>
      <c r="D58" s="185">
        <f>SUM(D59:D61)</f>
        <v>0</v>
      </c>
      <c r="E58" s="121">
        <f>SUM(E59:E61)</f>
        <v>0</v>
      </c>
    </row>
    <row r="59" spans="1:5" s="197" customFormat="1" ht="12" customHeight="1">
      <c r="A59" s="13" t="s">
        <v>65</v>
      </c>
      <c r="B59" s="198" t="s">
        <v>218</v>
      </c>
      <c r="C59" s="187"/>
      <c r="D59" s="187"/>
      <c r="E59" s="123"/>
    </row>
    <row r="60" spans="1:5" s="197" customFormat="1" ht="12" customHeight="1">
      <c r="A60" s="12" t="s">
        <v>66</v>
      </c>
      <c r="B60" s="199" t="s">
        <v>345</v>
      </c>
      <c r="C60" s="186"/>
      <c r="D60" s="186"/>
      <c r="E60" s="122"/>
    </row>
    <row r="61" spans="1:5" s="197" customFormat="1" ht="12" customHeight="1">
      <c r="A61" s="12" t="s">
        <v>221</v>
      </c>
      <c r="B61" s="199" t="s">
        <v>219</v>
      </c>
      <c r="C61" s="186"/>
      <c r="D61" s="186"/>
      <c r="E61" s="122"/>
    </row>
    <row r="62" spans="1:5" s="197" customFormat="1" ht="12" customHeight="1" thickBot="1">
      <c r="A62" s="14" t="s">
        <v>222</v>
      </c>
      <c r="B62" s="130" t="s">
        <v>220</v>
      </c>
      <c r="C62" s="188"/>
      <c r="D62" s="188"/>
      <c r="E62" s="124"/>
    </row>
    <row r="63" spans="1:5" s="197" customFormat="1" ht="12" customHeight="1" thickBot="1">
      <c r="A63" s="18" t="s">
        <v>16</v>
      </c>
      <c r="B63" s="128" t="s">
        <v>223</v>
      </c>
      <c r="C63" s="185">
        <f>SUM(C64:C66)</f>
        <v>0</v>
      </c>
      <c r="D63" s="185">
        <f>SUM(D64:D66)</f>
        <v>2287000</v>
      </c>
      <c r="E63" s="121">
        <f>SUM(E64:E66)</f>
        <v>1815000</v>
      </c>
    </row>
    <row r="64" spans="1:5" s="197" customFormat="1" ht="12" customHeight="1">
      <c r="A64" s="13" t="s">
        <v>126</v>
      </c>
      <c r="B64" s="198" t="s">
        <v>225</v>
      </c>
      <c r="C64" s="189"/>
      <c r="D64" s="189"/>
      <c r="E64" s="125"/>
    </row>
    <row r="65" spans="1:5" s="197" customFormat="1" ht="12" customHeight="1">
      <c r="A65" s="12" t="s">
        <v>127</v>
      </c>
      <c r="B65" s="199" t="s">
        <v>346</v>
      </c>
      <c r="C65" s="189"/>
      <c r="D65" s="189">
        <v>1287000</v>
      </c>
      <c r="E65" s="125">
        <v>815000</v>
      </c>
    </row>
    <row r="66" spans="1:5" s="197" customFormat="1" ht="12" customHeight="1">
      <c r="A66" s="12" t="s">
        <v>158</v>
      </c>
      <c r="B66" s="199" t="s">
        <v>226</v>
      </c>
      <c r="C66" s="189"/>
      <c r="D66" s="189">
        <v>1000000</v>
      </c>
      <c r="E66" s="125">
        <v>1000000</v>
      </c>
    </row>
    <row r="67" spans="1:5" s="197" customFormat="1" ht="12" customHeight="1" thickBot="1">
      <c r="A67" s="14" t="s">
        <v>224</v>
      </c>
      <c r="B67" s="130" t="s">
        <v>227</v>
      </c>
      <c r="C67" s="189"/>
      <c r="D67" s="189"/>
      <c r="E67" s="125"/>
    </row>
    <row r="68" spans="1:5" s="197" customFormat="1" ht="12" customHeight="1" thickBot="1">
      <c r="A68" s="253" t="s">
        <v>393</v>
      </c>
      <c r="B68" s="19" t="s">
        <v>228</v>
      </c>
      <c r="C68" s="191">
        <f>+C11+C18+C25+C32+C40+C52+C58+C63</f>
        <v>388354306</v>
      </c>
      <c r="D68" s="191">
        <f>+D11+D18+D25+D32+D40+D52+D58+D63</f>
        <v>1439843397</v>
      </c>
      <c r="E68" s="227">
        <f>+E11+E18+E25+E32+E40+E52+E58+E63</f>
        <v>1252327948</v>
      </c>
    </row>
    <row r="69" spans="1:5" s="197" customFormat="1" ht="12" customHeight="1" thickBot="1">
      <c r="A69" s="239" t="s">
        <v>229</v>
      </c>
      <c r="B69" s="128" t="s">
        <v>230</v>
      </c>
      <c r="C69" s="185">
        <f>SUM(C70:C72)</f>
        <v>0</v>
      </c>
      <c r="D69" s="185">
        <f>SUM(D70:D72)</f>
        <v>0</v>
      </c>
      <c r="E69" s="121">
        <f>SUM(E70:E72)</f>
        <v>0</v>
      </c>
    </row>
    <row r="70" spans="1:5" s="197" customFormat="1" ht="12" customHeight="1">
      <c r="A70" s="13" t="s">
        <v>258</v>
      </c>
      <c r="B70" s="198" t="s">
        <v>231</v>
      </c>
      <c r="C70" s="189"/>
      <c r="D70" s="189"/>
      <c r="E70" s="125"/>
    </row>
    <row r="71" spans="1:5" s="197" customFormat="1" ht="12" customHeight="1">
      <c r="A71" s="12" t="s">
        <v>267</v>
      </c>
      <c r="B71" s="199" t="s">
        <v>232</v>
      </c>
      <c r="C71" s="189"/>
      <c r="D71" s="189"/>
      <c r="E71" s="125"/>
    </row>
    <row r="72" spans="1:5" s="197" customFormat="1" ht="12" customHeight="1" thickBot="1">
      <c r="A72" s="14" t="s">
        <v>268</v>
      </c>
      <c r="B72" s="249" t="s">
        <v>378</v>
      </c>
      <c r="C72" s="189"/>
      <c r="D72" s="189"/>
      <c r="E72" s="125"/>
    </row>
    <row r="73" spans="1:5" s="197" customFormat="1" ht="12" customHeight="1" thickBot="1">
      <c r="A73" s="239" t="s">
        <v>234</v>
      </c>
      <c r="B73" s="128" t="s">
        <v>235</v>
      </c>
      <c r="C73" s="185">
        <f>SUM(C74:C77)</f>
        <v>0</v>
      </c>
      <c r="D73" s="185">
        <f>SUM(D74:D77)</f>
        <v>30000000</v>
      </c>
      <c r="E73" s="121">
        <f>SUM(E74:E77)</f>
        <v>30000000</v>
      </c>
    </row>
    <row r="74" spans="1:5" s="197" customFormat="1" ht="12" customHeight="1">
      <c r="A74" s="13" t="s">
        <v>103</v>
      </c>
      <c r="B74" s="388" t="s">
        <v>236</v>
      </c>
      <c r="C74" s="189"/>
      <c r="D74" s="189"/>
      <c r="E74" s="125"/>
    </row>
    <row r="75" spans="1:5" s="197" customFormat="1" ht="12" customHeight="1">
      <c r="A75" s="12" t="s">
        <v>104</v>
      </c>
      <c r="B75" s="388" t="s">
        <v>517</v>
      </c>
      <c r="C75" s="189"/>
      <c r="D75" s="189"/>
      <c r="E75" s="125"/>
    </row>
    <row r="76" spans="1:5" s="197" customFormat="1" ht="12" customHeight="1">
      <c r="A76" s="12" t="s">
        <v>259</v>
      </c>
      <c r="B76" s="388" t="s">
        <v>237</v>
      </c>
      <c r="C76" s="189"/>
      <c r="D76" s="189">
        <v>30000000</v>
      </c>
      <c r="E76" s="125">
        <v>30000000</v>
      </c>
    </row>
    <row r="77" spans="1:5" s="197" customFormat="1" ht="12" customHeight="1" thickBot="1">
      <c r="A77" s="14" t="s">
        <v>260</v>
      </c>
      <c r="B77" s="389" t="s">
        <v>518</v>
      </c>
      <c r="C77" s="189"/>
      <c r="D77" s="189"/>
      <c r="E77" s="125"/>
    </row>
    <row r="78" spans="1:5" s="197" customFormat="1" ht="12" customHeight="1" thickBot="1">
      <c r="A78" s="239" t="s">
        <v>238</v>
      </c>
      <c r="B78" s="128" t="s">
        <v>239</v>
      </c>
      <c r="C78" s="185">
        <f>SUM(C79:C80)</f>
        <v>647888694</v>
      </c>
      <c r="D78" s="185">
        <f>SUM(D79:D80)</f>
        <v>1283786630</v>
      </c>
      <c r="E78" s="121">
        <f>SUM(E79:E80)</f>
        <v>1283786630</v>
      </c>
    </row>
    <row r="79" spans="1:5" s="197" customFormat="1" ht="12" customHeight="1">
      <c r="A79" s="13" t="s">
        <v>261</v>
      </c>
      <c r="B79" s="198" t="s">
        <v>240</v>
      </c>
      <c r="C79" s="189">
        <v>647888694</v>
      </c>
      <c r="D79" s="189">
        <v>1283786630</v>
      </c>
      <c r="E79" s="125">
        <v>1283786630</v>
      </c>
    </row>
    <row r="80" spans="1:5" s="197" customFormat="1" ht="12" customHeight="1" thickBot="1">
      <c r="A80" s="14" t="s">
        <v>262</v>
      </c>
      <c r="B80" s="130" t="s">
        <v>241</v>
      </c>
      <c r="C80" s="189"/>
      <c r="D80" s="189"/>
      <c r="E80" s="125"/>
    </row>
    <row r="81" spans="1:5" s="197" customFormat="1" ht="12" customHeight="1" thickBot="1">
      <c r="A81" s="239" t="s">
        <v>242</v>
      </c>
      <c r="B81" s="128" t="s">
        <v>243</v>
      </c>
      <c r="C81" s="185">
        <f>SUM(C82:C84)</f>
        <v>100000000</v>
      </c>
      <c r="D81" s="185">
        <f>SUM(D82:D84)</f>
        <v>0</v>
      </c>
      <c r="E81" s="121">
        <f>SUM(E82:E84)</f>
        <v>0</v>
      </c>
    </row>
    <row r="82" spans="1:5" s="197" customFormat="1" ht="12" customHeight="1">
      <c r="A82" s="13" t="s">
        <v>263</v>
      </c>
      <c r="B82" s="198" t="s">
        <v>244</v>
      </c>
      <c r="C82" s="189"/>
      <c r="D82" s="189"/>
      <c r="E82" s="125"/>
    </row>
    <row r="83" spans="1:5" s="197" customFormat="1" ht="12" customHeight="1">
      <c r="A83" s="12" t="s">
        <v>264</v>
      </c>
      <c r="B83" s="199" t="s">
        <v>245</v>
      </c>
      <c r="C83" s="189"/>
      <c r="D83" s="189"/>
      <c r="E83" s="125"/>
    </row>
    <row r="84" spans="1:5" s="197" customFormat="1" ht="12" customHeight="1" thickBot="1">
      <c r="A84" s="14" t="s">
        <v>265</v>
      </c>
      <c r="B84" s="130" t="s">
        <v>519</v>
      </c>
      <c r="C84" s="189">
        <v>100000000</v>
      </c>
      <c r="D84" s="189"/>
      <c r="E84" s="125"/>
    </row>
    <row r="85" spans="1:5" s="197" customFormat="1" ht="12" customHeight="1" thickBot="1">
      <c r="A85" s="239" t="s">
        <v>246</v>
      </c>
      <c r="B85" s="128" t="s">
        <v>266</v>
      </c>
      <c r="C85" s="185">
        <f>SUM(C86:C89)</f>
        <v>0</v>
      </c>
      <c r="D85" s="185">
        <f>SUM(D86:D89)</f>
        <v>0</v>
      </c>
      <c r="E85" s="121">
        <f>SUM(E86:E89)</f>
        <v>0</v>
      </c>
    </row>
    <row r="86" spans="1:5" s="197" customFormat="1" ht="12" customHeight="1">
      <c r="A86" s="202" t="s">
        <v>247</v>
      </c>
      <c r="B86" s="198" t="s">
        <v>248</v>
      </c>
      <c r="C86" s="189"/>
      <c r="D86" s="189"/>
      <c r="E86" s="125"/>
    </row>
    <row r="87" spans="1:5" s="197" customFormat="1" ht="12" customHeight="1">
      <c r="A87" s="203" t="s">
        <v>249</v>
      </c>
      <c r="B87" s="199" t="s">
        <v>250</v>
      </c>
      <c r="C87" s="189"/>
      <c r="D87" s="189"/>
      <c r="E87" s="125"/>
    </row>
    <row r="88" spans="1:5" s="197" customFormat="1" ht="12" customHeight="1">
      <c r="A88" s="203" t="s">
        <v>251</v>
      </c>
      <c r="B88" s="199" t="s">
        <v>252</v>
      </c>
      <c r="C88" s="189"/>
      <c r="D88" s="189"/>
      <c r="E88" s="125"/>
    </row>
    <row r="89" spans="1:5" s="197" customFormat="1" ht="12" customHeight="1" thickBot="1">
      <c r="A89" s="204" t="s">
        <v>253</v>
      </c>
      <c r="B89" s="130" t="s">
        <v>254</v>
      </c>
      <c r="C89" s="189"/>
      <c r="D89" s="189"/>
      <c r="E89" s="125"/>
    </row>
    <row r="90" spans="1:5" s="197" customFormat="1" ht="12" customHeight="1" thickBot="1">
      <c r="A90" s="239" t="s">
        <v>255</v>
      </c>
      <c r="B90" s="128" t="s">
        <v>392</v>
      </c>
      <c r="C90" s="241"/>
      <c r="D90" s="241"/>
      <c r="E90" s="242"/>
    </row>
    <row r="91" spans="1:5" s="197" customFormat="1" ht="13.5" customHeight="1" thickBot="1">
      <c r="A91" s="239" t="s">
        <v>257</v>
      </c>
      <c r="B91" s="128" t="s">
        <v>256</v>
      </c>
      <c r="C91" s="241"/>
      <c r="D91" s="241"/>
      <c r="E91" s="242"/>
    </row>
    <row r="92" spans="1:5" s="197" customFormat="1" ht="15.75" customHeight="1" thickBot="1">
      <c r="A92" s="239" t="s">
        <v>269</v>
      </c>
      <c r="B92" s="205" t="s">
        <v>395</v>
      </c>
      <c r="C92" s="191">
        <f>+C69+C73+C78+C81+C85+C91+C90</f>
        <v>747888694</v>
      </c>
      <c r="D92" s="191">
        <f>+D69+D73+D78+D81+D85+D91+D90</f>
        <v>1313786630</v>
      </c>
      <c r="E92" s="227">
        <f>+E69+E73+E78+E81+E85+E91+E90</f>
        <v>1313786630</v>
      </c>
    </row>
    <row r="93" spans="1:5" s="197" customFormat="1" ht="25.5" customHeight="1" thickBot="1">
      <c r="A93" s="240" t="s">
        <v>394</v>
      </c>
      <c r="B93" s="206" t="s">
        <v>396</v>
      </c>
      <c r="C93" s="191">
        <f>+C68+C92</f>
        <v>1136243000</v>
      </c>
      <c r="D93" s="191">
        <f>+D68+D92</f>
        <v>2753630027</v>
      </c>
      <c r="E93" s="227">
        <f>+E68+E92</f>
        <v>2566114578</v>
      </c>
    </row>
    <row r="94" spans="1:5" s="197" customFormat="1" ht="15.2" customHeight="1">
      <c r="A94" s="3"/>
      <c r="B94" s="4"/>
      <c r="C94" s="132"/>
    </row>
    <row r="95" spans="1:5" ht="16.5" customHeight="1">
      <c r="A95" s="492" t="s">
        <v>37</v>
      </c>
      <c r="B95" s="492"/>
      <c r="C95" s="492"/>
      <c r="D95" s="492"/>
      <c r="E95" s="492"/>
    </row>
    <row r="96" spans="1:5" s="207" customFormat="1" ht="16.5" customHeight="1" thickBot="1">
      <c r="A96" s="494" t="s">
        <v>107</v>
      </c>
      <c r="B96" s="494"/>
      <c r="C96" s="63"/>
      <c r="E96" s="63" t="str">
        <f>E7</f>
        <v xml:space="preserve"> Forintban!</v>
      </c>
    </row>
    <row r="97" spans="1:5">
      <c r="A97" s="483" t="s">
        <v>55</v>
      </c>
      <c r="B97" s="485" t="s">
        <v>439</v>
      </c>
      <c r="C97" s="487" t="str">
        <f>+CONCATENATE(LEFT(IB_ÖSSZEFÜGGÉSEK!A6,4),". évi")</f>
        <v>2019. évi</v>
      </c>
      <c r="D97" s="488"/>
      <c r="E97" s="489"/>
    </row>
    <row r="98" spans="1:5" ht="24.75" thickBot="1">
      <c r="A98" s="484"/>
      <c r="B98" s="486"/>
      <c r="C98" s="270" t="s">
        <v>437</v>
      </c>
      <c r="D98" s="269" t="s">
        <v>438</v>
      </c>
      <c r="E98" s="390" t="str">
        <f>+CONCATENATE(LEFT(IB_ÖSSZEFÜGGÉSEK!A6,4),". VI. 30.",CHAR(10),"teljesítés")</f>
        <v>2019. VI. 30.
teljesítés</v>
      </c>
    </row>
    <row r="99" spans="1:5" s="196" customFormat="1" ht="12" customHeight="1" thickBot="1">
      <c r="A99" s="25" t="s">
        <v>404</v>
      </c>
      <c r="B99" s="26" t="s">
        <v>405</v>
      </c>
      <c r="C99" s="26" t="s">
        <v>406</v>
      </c>
      <c r="D99" s="26" t="s">
        <v>408</v>
      </c>
      <c r="E99" s="281" t="s">
        <v>407</v>
      </c>
    </row>
    <row r="100" spans="1:5" ht="12" customHeight="1" thickBot="1">
      <c r="A100" s="20" t="s">
        <v>9</v>
      </c>
      <c r="B100" s="24" t="s">
        <v>354</v>
      </c>
      <c r="C100" s="184">
        <f>C101+C102+C103+C104+C105+C118</f>
        <v>548935073</v>
      </c>
      <c r="D100" s="184">
        <f>D101+D102+D103+D104+D105+D118</f>
        <v>960538843</v>
      </c>
      <c r="E100" s="256">
        <f>E101+E102+E103+E104+E105+E118</f>
        <v>571766203</v>
      </c>
    </row>
    <row r="101" spans="1:5" ht="12" customHeight="1">
      <c r="A101" s="15" t="s">
        <v>67</v>
      </c>
      <c r="B101" s="8" t="s">
        <v>38</v>
      </c>
      <c r="C101" s="263">
        <v>221968200</v>
      </c>
      <c r="D101" s="263">
        <v>351369976</v>
      </c>
      <c r="E101" s="257">
        <v>185693801</v>
      </c>
    </row>
    <row r="102" spans="1:5" ht="12" customHeight="1">
      <c r="A102" s="12" t="s">
        <v>68</v>
      </c>
      <c r="B102" s="6" t="s">
        <v>128</v>
      </c>
      <c r="C102" s="186">
        <v>41239100</v>
      </c>
      <c r="D102" s="186">
        <v>69059234</v>
      </c>
      <c r="E102" s="122">
        <v>30731229</v>
      </c>
    </row>
    <row r="103" spans="1:5" ht="12" customHeight="1">
      <c r="A103" s="12" t="s">
        <v>69</v>
      </c>
      <c r="B103" s="6" t="s">
        <v>95</v>
      </c>
      <c r="C103" s="188">
        <v>253478273</v>
      </c>
      <c r="D103" s="188">
        <v>492305704</v>
      </c>
      <c r="E103" s="124">
        <v>325642116</v>
      </c>
    </row>
    <row r="104" spans="1:5" ht="12" customHeight="1">
      <c r="A104" s="12" t="s">
        <v>70</v>
      </c>
      <c r="B104" s="9" t="s">
        <v>129</v>
      </c>
      <c r="C104" s="188">
        <v>8429500</v>
      </c>
      <c r="D104" s="188">
        <v>8429500</v>
      </c>
      <c r="E104" s="124">
        <v>4102276</v>
      </c>
    </row>
    <row r="105" spans="1:5" ht="12" customHeight="1">
      <c r="A105" s="12" t="s">
        <v>79</v>
      </c>
      <c r="B105" s="17" t="s">
        <v>130</v>
      </c>
      <c r="C105" s="188">
        <v>23820000</v>
      </c>
      <c r="D105" s="188">
        <v>39374429</v>
      </c>
      <c r="E105" s="124">
        <v>25596781</v>
      </c>
    </row>
    <row r="106" spans="1:5" ht="12" customHeight="1">
      <c r="A106" s="12" t="s">
        <v>71</v>
      </c>
      <c r="B106" s="6" t="s">
        <v>359</v>
      </c>
      <c r="C106" s="188"/>
      <c r="D106" s="188">
        <v>15214429</v>
      </c>
      <c r="E106" s="124">
        <v>15214429</v>
      </c>
    </row>
    <row r="107" spans="1:5" ht="12" customHeight="1">
      <c r="A107" s="12" t="s">
        <v>72</v>
      </c>
      <c r="B107" s="67" t="s">
        <v>358</v>
      </c>
      <c r="C107" s="188"/>
      <c r="D107" s="188"/>
      <c r="E107" s="124"/>
    </row>
    <row r="108" spans="1:5" ht="12" customHeight="1">
      <c r="A108" s="12" t="s">
        <v>80</v>
      </c>
      <c r="B108" s="67" t="s">
        <v>357</v>
      </c>
      <c r="C108" s="188"/>
      <c r="D108" s="188"/>
      <c r="E108" s="124"/>
    </row>
    <row r="109" spans="1:5" ht="12" customHeight="1">
      <c r="A109" s="12" t="s">
        <v>81</v>
      </c>
      <c r="B109" s="65" t="s">
        <v>272</v>
      </c>
      <c r="C109" s="188"/>
      <c r="D109" s="188"/>
      <c r="E109" s="124"/>
    </row>
    <row r="110" spans="1:5" ht="12" customHeight="1">
      <c r="A110" s="12" t="s">
        <v>82</v>
      </c>
      <c r="B110" s="66" t="s">
        <v>273</v>
      </c>
      <c r="C110" s="188"/>
      <c r="D110" s="188"/>
      <c r="E110" s="124"/>
    </row>
    <row r="111" spans="1:5" ht="12" customHeight="1">
      <c r="A111" s="12" t="s">
        <v>83</v>
      </c>
      <c r="B111" s="66" t="s">
        <v>274</v>
      </c>
      <c r="C111" s="188"/>
      <c r="D111" s="188"/>
      <c r="E111" s="124"/>
    </row>
    <row r="112" spans="1:5" ht="12" customHeight="1">
      <c r="A112" s="12" t="s">
        <v>85</v>
      </c>
      <c r="B112" s="65" t="s">
        <v>275</v>
      </c>
      <c r="C112" s="188">
        <v>15919000</v>
      </c>
      <c r="D112" s="188">
        <v>15919000</v>
      </c>
      <c r="E112" s="124">
        <v>7967552</v>
      </c>
    </row>
    <row r="113" spans="1:5" ht="12" customHeight="1">
      <c r="A113" s="12" t="s">
        <v>131</v>
      </c>
      <c r="B113" s="65" t="s">
        <v>276</v>
      </c>
      <c r="C113" s="188"/>
      <c r="D113" s="188"/>
      <c r="E113" s="124"/>
    </row>
    <row r="114" spans="1:5" ht="12" customHeight="1">
      <c r="A114" s="12" t="s">
        <v>270</v>
      </c>
      <c r="B114" s="66" t="s">
        <v>277</v>
      </c>
      <c r="C114" s="188"/>
      <c r="D114" s="188">
        <v>290000</v>
      </c>
      <c r="E114" s="124">
        <v>290000</v>
      </c>
    </row>
    <row r="115" spans="1:5" ht="12" customHeight="1">
      <c r="A115" s="11" t="s">
        <v>271</v>
      </c>
      <c r="B115" s="67" t="s">
        <v>278</v>
      </c>
      <c r="C115" s="188"/>
      <c r="D115" s="188"/>
      <c r="E115" s="124"/>
    </row>
    <row r="116" spans="1:5" ht="12" customHeight="1">
      <c r="A116" s="12" t="s">
        <v>355</v>
      </c>
      <c r="B116" s="67" t="s">
        <v>279</v>
      </c>
      <c r="C116" s="188"/>
      <c r="D116" s="188"/>
      <c r="E116" s="124"/>
    </row>
    <row r="117" spans="1:5" ht="12" customHeight="1">
      <c r="A117" s="14" t="s">
        <v>356</v>
      </c>
      <c r="B117" s="67" t="s">
        <v>280</v>
      </c>
      <c r="C117" s="188">
        <v>7901000</v>
      </c>
      <c r="D117" s="188">
        <v>7951000</v>
      </c>
      <c r="E117" s="124">
        <v>2124800</v>
      </c>
    </row>
    <row r="118" spans="1:5" ht="12" customHeight="1">
      <c r="A118" s="12" t="s">
        <v>360</v>
      </c>
      <c r="B118" s="9" t="s">
        <v>39</v>
      </c>
      <c r="C118" s="186"/>
      <c r="D118" s="186"/>
      <c r="E118" s="122"/>
    </row>
    <row r="119" spans="1:5" ht="12" customHeight="1">
      <c r="A119" s="12" t="s">
        <v>361</v>
      </c>
      <c r="B119" s="6" t="s">
        <v>363</v>
      </c>
      <c r="C119" s="186"/>
      <c r="D119" s="186"/>
      <c r="E119" s="122"/>
    </row>
    <row r="120" spans="1:5" ht="12" customHeight="1" thickBot="1">
      <c r="A120" s="16" t="s">
        <v>362</v>
      </c>
      <c r="B120" s="252" t="s">
        <v>364</v>
      </c>
      <c r="C120" s="264"/>
      <c r="D120" s="264"/>
      <c r="E120" s="258"/>
    </row>
    <row r="121" spans="1:5" ht="12" customHeight="1" thickBot="1">
      <c r="A121" s="250" t="s">
        <v>10</v>
      </c>
      <c r="B121" s="251" t="s">
        <v>281</v>
      </c>
      <c r="C121" s="265">
        <f>+C122+C124+C126</f>
        <v>582725000</v>
      </c>
      <c r="D121" s="185">
        <f>+D122+D124+D126</f>
        <v>1781620211</v>
      </c>
      <c r="E121" s="259">
        <f>+E122+E124+E126</f>
        <v>939518863</v>
      </c>
    </row>
    <row r="122" spans="1:5" ht="12" customHeight="1">
      <c r="A122" s="13" t="s">
        <v>73</v>
      </c>
      <c r="B122" s="6" t="s">
        <v>157</v>
      </c>
      <c r="C122" s="187">
        <v>562125000</v>
      </c>
      <c r="D122" s="274">
        <v>1331367150</v>
      </c>
      <c r="E122" s="123">
        <v>786565032</v>
      </c>
    </row>
    <row r="123" spans="1:5" ht="12" customHeight="1">
      <c r="A123" s="13" t="s">
        <v>74</v>
      </c>
      <c r="B123" s="10" t="s">
        <v>285</v>
      </c>
      <c r="C123" s="187">
        <v>482471000</v>
      </c>
      <c r="D123" s="274"/>
      <c r="E123" s="123"/>
    </row>
    <row r="124" spans="1:5" ht="12" customHeight="1">
      <c r="A124" s="13" t="s">
        <v>75</v>
      </c>
      <c r="B124" s="10" t="s">
        <v>132</v>
      </c>
      <c r="C124" s="186">
        <v>20000000</v>
      </c>
      <c r="D124" s="275">
        <v>449653061</v>
      </c>
      <c r="E124" s="122">
        <v>152953831</v>
      </c>
    </row>
    <row r="125" spans="1:5" ht="12" customHeight="1">
      <c r="A125" s="13" t="s">
        <v>76</v>
      </c>
      <c r="B125" s="10" t="s">
        <v>286</v>
      </c>
      <c r="C125" s="186"/>
      <c r="D125" s="275"/>
      <c r="E125" s="122"/>
    </row>
    <row r="126" spans="1:5" ht="12" customHeight="1">
      <c r="A126" s="13" t="s">
        <v>77</v>
      </c>
      <c r="B126" s="130" t="s">
        <v>159</v>
      </c>
      <c r="C126" s="186">
        <v>600000</v>
      </c>
      <c r="D126" s="275">
        <v>600000</v>
      </c>
      <c r="E126" s="122"/>
    </row>
    <row r="127" spans="1:5" ht="12" customHeight="1">
      <c r="A127" s="13" t="s">
        <v>84</v>
      </c>
      <c r="B127" s="129" t="s">
        <v>347</v>
      </c>
      <c r="C127" s="186"/>
      <c r="D127" s="275"/>
      <c r="E127" s="122"/>
    </row>
    <row r="128" spans="1:5" ht="12" customHeight="1">
      <c r="A128" s="13" t="s">
        <v>86</v>
      </c>
      <c r="B128" s="194" t="s">
        <v>291</v>
      </c>
      <c r="C128" s="186"/>
      <c r="D128" s="275"/>
      <c r="E128" s="122"/>
    </row>
    <row r="129" spans="1:5">
      <c r="A129" s="13" t="s">
        <v>133</v>
      </c>
      <c r="B129" s="66" t="s">
        <v>274</v>
      </c>
      <c r="C129" s="186"/>
      <c r="D129" s="275"/>
      <c r="E129" s="122"/>
    </row>
    <row r="130" spans="1:5" ht="12" customHeight="1">
      <c r="A130" s="13" t="s">
        <v>134</v>
      </c>
      <c r="B130" s="66" t="s">
        <v>290</v>
      </c>
      <c r="C130" s="186"/>
      <c r="D130" s="275"/>
      <c r="E130" s="122"/>
    </row>
    <row r="131" spans="1:5" ht="12" customHeight="1">
      <c r="A131" s="13" t="s">
        <v>135</v>
      </c>
      <c r="B131" s="66" t="s">
        <v>289</v>
      </c>
      <c r="C131" s="186"/>
      <c r="D131" s="275"/>
      <c r="E131" s="122"/>
    </row>
    <row r="132" spans="1:5" ht="12" customHeight="1">
      <c r="A132" s="13" t="s">
        <v>282</v>
      </c>
      <c r="B132" s="66" t="s">
        <v>277</v>
      </c>
      <c r="C132" s="186"/>
      <c r="D132" s="275"/>
      <c r="E132" s="122"/>
    </row>
    <row r="133" spans="1:5" ht="12" customHeight="1">
      <c r="A133" s="13" t="s">
        <v>283</v>
      </c>
      <c r="B133" s="66" t="s">
        <v>288</v>
      </c>
      <c r="C133" s="186"/>
      <c r="D133" s="275"/>
      <c r="E133" s="122"/>
    </row>
    <row r="134" spans="1:5" ht="16.5" thickBot="1">
      <c r="A134" s="11" t="s">
        <v>284</v>
      </c>
      <c r="B134" s="66" t="s">
        <v>287</v>
      </c>
      <c r="C134" s="188">
        <v>600000</v>
      </c>
      <c r="D134" s="276">
        <v>600000</v>
      </c>
      <c r="E134" s="124"/>
    </row>
    <row r="135" spans="1:5" ht="12" customHeight="1" thickBot="1">
      <c r="A135" s="18" t="s">
        <v>11</v>
      </c>
      <c r="B135" s="59" t="s">
        <v>365</v>
      </c>
      <c r="C135" s="185">
        <f>+C100+C121</f>
        <v>1131660073</v>
      </c>
      <c r="D135" s="273">
        <f>+D100+D121</f>
        <v>2742159054</v>
      </c>
      <c r="E135" s="121">
        <f>+E100+E121</f>
        <v>1511285066</v>
      </c>
    </row>
    <row r="136" spans="1:5" ht="12" customHeight="1" thickBot="1">
      <c r="A136" s="18" t="s">
        <v>12</v>
      </c>
      <c r="B136" s="59" t="s">
        <v>440</v>
      </c>
      <c r="C136" s="185">
        <f>+C137+C138+C139</f>
        <v>0</v>
      </c>
      <c r="D136" s="273">
        <f>+D137+D138+D139</f>
        <v>0</v>
      </c>
      <c r="E136" s="121">
        <f>+E137+E138+E139</f>
        <v>0</v>
      </c>
    </row>
    <row r="137" spans="1:5" ht="12" customHeight="1">
      <c r="A137" s="13" t="s">
        <v>190</v>
      </c>
      <c r="B137" s="10" t="s">
        <v>373</v>
      </c>
      <c r="C137" s="186"/>
      <c r="D137" s="275"/>
      <c r="E137" s="122"/>
    </row>
    <row r="138" spans="1:5" ht="12" customHeight="1">
      <c r="A138" s="13" t="s">
        <v>191</v>
      </c>
      <c r="B138" s="10" t="s">
        <v>374</v>
      </c>
      <c r="C138" s="186"/>
      <c r="D138" s="275"/>
      <c r="E138" s="122"/>
    </row>
    <row r="139" spans="1:5" ht="12" customHeight="1" thickBot="1">
      <c r="A139" s="11" t="s">
        <v>192</v>
      </c>
      <c r="B139" s="10" t="s">
        <v>375</v>
      </c>
      <c r="C139" s="186"/>
      <c r="D139" s="275"/>
      <c r="E139" s="122"/>
    </row>
    <row r="140" spans="1:5" ht="12" customHeight="1" thickBot="1">
      <c r="A140" s="18" t="s">
        <v>13</v>
      </c>
      <c r="B140" s="59" t="s">
        <v>367</v>
      </c>
      <c r="C140" s="185">
        <f>SUM(C141:C146)</f>
        <v>0</v>
      </c>
      <c r="D140" s="273">
        <f>SUM(D141:D146)</f>
        <v>0</v>
      </c>
      <c r="E140" s="121">
        <f>SUM(E141:E146)</f>
        <v>0</v>
      </c>
    </row>
    <row r="141" spans="1:5" ht="12" customHeight="1">
      <c r="A141" s="13" t="s">
        <v>60</v>
      </c>
      <c r="B141" s="7" t="s">
        <v>376</v>
      </c>
      <c r="C141" s="186"/>
      <c r="D141" s="275"/>
      <c r="E141" s="122"/>
    </row>
    <row r="142" spans="1:5" ht="12" customHeight="1">
      <c r="A142" s="13" t="s">
        <v>61</v>
      </c>
      <c r="B142" s="7" t="s">
        <v>368</v>
      </c>
      <c r="C142" s="186"/>
      <c r="D142" s="275"/>
      <c r="E142" s="122"/>
    </row>
    <row r="143" spans="1:5" ht="12" customHeight="1">
      <c r="A143" s="13" t="s">
        <v>62</v>
      </c>
      <c r="B143" s="7" t="s">
        <v>369</v>
      </c>
      <c r="C143" s="186"/>
      <c r="D143" s="275"/>
      <c r="E143" s="122"/>
    </row>
    <row r="144" spans="1:5" ht="12" customHeight="1">
      <c r="A144" s="13" t="s">
        <v>120</v>
      </c>
      <c r="B144" s="7" t="s">
        <v>370</v>
      </c>
      <c r="C144" s="186"/>
      <c r="D144" s="275"/>
      <c r="E144" s="122"/>
    </row>
    <row r="145" spans="1:9" ht="12" customHeight="1">
      <c r="A145" s="13" t="s">
        <v>121</v>
      </c>
      <c r="B145" s="7" t="s">
        <v>371</v>
      </c>
      <c r="C145" s="186"/>
      <c r="D145" s="275"/>
      <c r="E145" s="122"/>
    </row>
    <row r="146" spans="1:9" ht="12" customHeight="1" thickBot="1">
      <c r="A146" s="16" t="s">
        <v>122</v>
      </c>
      <c r="B146" s="400" t="s">
        <v>372</v>
      </c>
      <c r="C146" s="264"/>
      <c r="D146" s="340"/>
      <c r="E146" s="258"/>
    </row>
    <row r="147" spans="1:9" ht="12" customHeight="1" thickBot="1">
      <c r="A147" s="18" t="s">
        <v>14</v>
      </c>
      <c r="B147" s="59" t="s">
        <v>380</v>
      </c>
      <c r="C147" s="191">
        <f>+C148+C149+C150+C151</f>
        <v>4582927</v>
      </c>
      <c r="D147" s="277">
        <f>+D148+D149+D150+D151</f>
        <v>11470973</v>
      </c>
      <c r="E147" s="227">
        <f>+E148+E149+E150+E151</f>
        <v>11470973</v>
      </c>
    </row>
    <row r="148" spans="1:9" ht="12" customHeight="1">
      <c r="A148" s="13" t="s">
        <v>63</v>
      </c>
      <c r="B148" s="7" t="s">
        <v>292</v>
      </c>
      <c r="C148" s="186"/>
      <c r="D148" s="275"/>
      <c r="E148" s="122"/>
    </row>
    <row r="149" spans="1:9" ht="12" customHeight="1">
      <c r="A149" s="13" t="s">
        <v>64</v>
      </c>
      <c r="B149" s="7" t="s">
        <v>293</v>
      </c>
      <c r="C149" s="186">
        <v>4582927</v>
      </c>
      <c r="D149" s="275">
        <v>11470973</v>
      </c>
      <c r="E149" s="122">
        <v>11470973</v>
      </c>
    </row>
    <row r="150" spans="1:9" ht="12" customHeight="1">
      <c r="A150" s="13" t="s">
        <v>209</v>
      </c>
      <c r="B150" s="7" t="s">
        <v>381</v>
      </c>
      <c r="C150" s="186"/>
      <c r="D150" s="275"/>
      <c r="E150" s="122"/>
    </row>
    <row r="151" spans="1:9" ht="12" customHeight="1" thickBot="1">
      <c r="A151" s="11" t="s">
        <v>210</v>
      </c>
      <c r="B151" s="5" t="s">
        <v>311</v>
      </c>
      <c r="C151" s="186"/>
      <c r="D151" s="275"/>
      <c r="E151" s="122"/>
    </row>
    <row r="152" spans="1:9" ht="12" customHeight="1" thickBot="1">
      <c r="A152" s="18" t="s">
        <v>15</v>
      </c>
      <c r="B152" s="59" t="s">
        <v>382</v>
      </c>
      <c r="C152" s="266">
        <f>SUM(C153:C157)</f>
        <v>0</v>
      </c>
      <c r="D152" s="278">
        <f>SUM(D153:D157)</f>
        <v>0</v>
      </c>
      <c r="E152" s="260">
        <f>SUM(E153:E157)</f>
        <v>0</v>
      </c>
    </row>
    <row r="153" spans="1:9" ht="12" customHeight="1">
      <c r="A153" s="13" t="s">
        <v>65</v>
      </c>
      <c r="B153" s="7" t="s">
        <v>377</v>
      </c>
      <c r="C153" s="186"/>
      <c r="D153" s="275"/>
      <c r="E153" s="122"/>
    </row>
    <row r="154" spans="1:9" ht="12" customHeight="1">
      <c r="A154" s="13" t="s">
        <v>66</v>
      </c>
      <c r="B154" s="7" t="s">
        <v>384</v>
      </c>
      <c r="C154" s="186"/>
      <c r="D154" s="275"/>
      <c r="E154" s="122"/>
    </row>
    <row r="155" spans="1:9" ht="12" customHeight="1">
      <c r="A155" s="13" t="s">
        <v>221</v>
      </c>
      <c r="B155" s="7" t="s">
        <v>379</v>
      </c>
      <c r="C155" s="186"/>
      <c r="D155" s="275"/>
      <c r="E155" s="122"/>
    </row>
    <row r="156" spans="1:9" ht="12" customHeight="1">
      <c r="A156" s="13" t="s">
        <v>222</v>
      </c>
      <c r="B156" s="7" t="s">
        <v>385</v>
      </c>
      <c r="C156" s="186"/>
      <c r="D156" s="275"/>
      <c r="E156" s="122"/>
    </row>
    <row r="157" spans="1:9" ht="12" customHeight="1" thickBot="1">
      <c r="A157" s="13" t="s">
        <v>383</v>
      </c>
      <c r="B157" s="7" t="s">
        <v>386</v>
      </c>
      <c r="C157" s="186"/>
      <c r="D157" s="275"/>
      <c r="E157" s="122"/>
    </row>
    <row r="158" spans="1:9" ht="12" customHeight="1" thickBot="1">
      <c r="A158" s="18" t="s">
        <v>16</v>
      </c>
      <c r="B158" s="59" t="s">
        <v>387</v>
      </c>
      <c r="C158" s="267"/>
      <c r="D158" s="279"/>
      <c r="E158" s="261"/>
    </row>
    <row r="159" spans="1:9" ht="12" customHeight="1" thickBot="1">
      <c r="A159" s="18" t="s">
        <v>17</v>
      </c>
      <c r="B159" s="59" t="s">
        <v>388</v>
      </c>
      <c r="C159" s="267"/>
      <c r="D159" s="279"/>
      <c r="E159" s="261"/>
    </row>
    <row r="160" spans="1:9" ht="15.2" customHeight="1" thickBot="1">
      <c r="A160" s="18" t="s">
        <v>18</v>
      </c>
      <c r="B160" s="59" t="s">
        <v>390</v>
      </c>
      <c r="C160" s="268">
        <f>+C136+C140+C147+C152+C158+C159</f>
        <v>4582927</v>
      </c>
      <c r="D160" s="280">
        <f>+D136+D140+D147+D152+D158+D159</f>
        <v>11470973</v>
      </c>
      <c r="E160" s="262">
        <f>+E136+E140+E147+E152+E158+E159</f>
        <v>11470973</v>
      </c>
      <c r="F160" s="208"/>
      <c r="G160" s="209"/>
      <c r="H160" s="209"/>
      <c r="I160" s="209"/>
    </row>
    <row r="161" spans="1:5" s="197" customFormat="1" ht="12.95" customHeight="1" thickBot="1">
      <c r="A161" s="131" t="s">
        <v>19</v>
      </c>
      <c r="B161" s="172" t="s">
        <v>389</v>
      </c>
      <c r="C161" s="268">
        <f>+C135+C160</f>
        <v>1136243000</v>
      </c>
      <c r="D161" s="280">
        <f>+D135+D160</f>
        <v>2753630027</v>
      </c>
      <c r="E161" s="262">
        <f>+E135+E160</f>
        <v>1522756039</v>
      </c>
    </row>
    <row r="162" spans="1:5">
      <c r="C162" s="463">
        <f>C93-C161</f>
        <v>0</v>
      </c>
      <c r="D162" s="463">
        <f>D93-D161</f>
        <v>0</v>
      </c>
    </row>
    <row r="163" spans="1:5">
      <c r="A163" s="490" t="s">
        <v>294</v>
      </c>
      <c r="B163" s="490"/>
      <c r="C163" s="490"/>
      <c r="D163" s="490"/>
      <c r="E163" s="490"/>
    </row>
    <row r="164" spans="1:5" ht="15.2" customHeight="1" thickBot="1">
      <c r="A164" s="482" t="s">
        <v>108</v>
      </c>
      <c r="B164" s="482"/>
      <c r="C164" s="133"/>
      <c r="E164" s="133" t="str">
        <f>E96</f>
        <v xml:space="preserve"> Forintban!</v>
      </c>
    </row>
    <row r="165" spans="1:5" ht="25.5" customHeight="1" thickBot="1">
      <c r="A165" s="18">
        <v>1</v>
      </c>
      <c r="B165" s="23" t="s">
        <v>391</v>
      </c>
      <c r="C165" s="272">
        <f>+C68-C135</f>
        <v>-743305767</v>
      </c>
      <c r="D165" s="185">
        <f>+D68-D135</f>
        <v>-1302315657</v>
      </c>
      <c r="E165" s="121">
        <f>+E68-E135</f>
        <v>-258957118</v>
      </c>
    </row>
    <row r="166" spans="1:5" ht="32.450000000000003" customHeight="1" thickBot="1">
      <c r="A166" s="18" t="s">
        <v>10</v>
      </c>
      <c r="B166" s="23" t="s">
        <v>397</v>
      </c>
      <c r="C166" s="185">
        <f>+C92-C160</f>
        <v>743305767</v>
      </c>
      <c r="D166" s="185">
        <f>+D92-D160</f>
        <v>1302315657</v>
      </c>
      <c r="E166" s="121">
        <f>+E92-E160</f>
        <v>1302315657</v>
      </c>
    </row>
  </sheetData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CONCATENATE("6.7.2. melléklet ",IB_ALAPADATOK!A7," ",IB_ALAPADATOK!B7," ",IB_ALAPADATOK!C7," ",IB_ALAPADATOK!D7)</f>
        <v xml:space="preserve">6.7.2.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CONCATENATE(IB_6.7.1.sz.mell!B2:D2)</f>
        <v>Borsodnádasdi Közösségi Ház és Könyvtár</v>
      </c>
      <c r="C2" s="537"/>
      <c r="D2" s="538"/>
      <c r="E2" s="410" t="s">
        <v>548</v>
      </c>
    </row>
    <row r="3" spans="1:5" s="233" customFormat="1" ht="24.75" thickBot="1">
      <c r="A3" s="409" t="s">
        <v>141</v>
      </c>
      <c r="B3" s="536" t="s">
        <v>339</v>
      </c>
      <c r="C3" s="537"/>
      <c r="D3" s="538"/>
      <c r="E3" s="410" t="s">
        <v>47</v>
      </c>
    </row>
    <row r="4" spans="1:5" s="234" customFormat="1" ht="15.95" customHeight="1" thickBot="1">
      <c r="A4" s="411"/>
      <c r="B4" s="411"/>
      <c r="C4" s="412"/>
      <c r="D4" s="413"/>
      <c r="E4" s="412" t="str">
        <f>IB_6.7.1.sz.mell!E4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CONCATENATE("6.7.3. melléklet ",IB_ALAPADATOK!A7," ",IB_ALAPADATOK!B7," ",IB_ALAPADATOK!C7," ",IB_ALAPADATOK!D7)</f>
        <v xml:space="preserve">6.7.3.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CONCATENATE(IB_6.7.2.sz.mell!B2:D2)</f>
        <v>Borsodnádasdi Közösségi Ház és Könyvtár</v>
      </c>
      <c r="C2" s="537"/>
      <c r="D2" s="538"/>
      <c r="E2" s="410" t="s">
        <v>548</v>
      </c>
    </row>
    <row r="3" spans="1:5" s="233" customFormat="1" ht="24.75" thickBot="1">
      <c r="A3" s="409" t="s">
        <v>141</v>
      </c>
      <c r="B3" s="536" t="s">
        <v>434</v>
      </c>
      <c r="C3" s="537"/>
      <c r="D3" s="538"/>
      <c r="E3" s="410" t="s">
        <v>348</v>
      </c>
    </row>
    <row r="4" spans="1:5" s="234" customFormat="1" ht="15.95" customHeight="1" thickBot="1">
      <c r="A4" s="411"/>
      <c r="B4" s="411"/>
      <c r="C4" s="412"/>
      <c r="D4" s="413"/>
      <c r="E4" s="412" t="str">
        <f>IB_6.7.2.sz.mell!E4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34" t="str">
        <f>CONCATENATE("6.8. melléklet ",IB_ALAPADATOK!A7," ",IB_ALAPADATOK!B7," ",IB_ALAPADATOK!C7," ",IB_ALAPADATOK!D7)</f>
        <v xml:space="preserve">6.8. melléklet a 7/2019.(X.09.)  önkormányzati rendelethez </v>
      </c>
      <c r="C1" s="535"/>
      <c r="D1" s="535"/>
      <c r="E1" s="535"/>
    </row>
    <row r="2" spans="1:5" s="233" customFormat="1" ht="25.5" customHeight="1" thickBot="1">
      <c r="A2" s="409" t="s">
        <v>479</v>
      </c>
      <c r="B2" s="536" t="str">
        <f>CONCATENATE(IB_ALAPADATOK!B23)</f>
        <v>6 kvi név</v>
      </c>
      <c r="C2" s="537"/>
      <c r="D2" s="538"/>
      <c r="E2" s="410" t="s">
        <v>549</v>
      </c>
    </row>
    <row r="3" spans="1:5" s="233" customFormat="1" ht="24.75" thickBot="1">
      <c r="A3" s="409" t="s">
        <v>141</v>
      </c>
      <c r="B3" s="536" t="s">
        <v>319</v>
      </c>
      <c r="C3" s="537"/>
      <c r="D3" s="538"/>
      <c r="E3" s="410" t="s">
        <v>42</v>
      </c>
    </row>
    <row r="4" spans="1:5" s="234" customFormat="1" ht="15.95" customHeight="1" thickBot="1">
      <c r="A4" s="411"/>
      <c r="B4" s="411"/>
      <c r="C4" s="412"/>
      <c r="D4" s="413"/>
      <c r="E4" s="412" t="str">
        <f>'9.2.3.sz.mell'!E4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topLeftCell="A7"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CONCATENATE("6.8.1. melléklet ",IB_ALAPADATOK!A7," ",IB_ALAPADATOK!B7," ",IB_ALAPADATOK!C7," ",IB_ALAPADATOK!D7)</f>
        <v xml:space="preserve">6.8.1.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CONCATENATE(IB_6.8.sz.mell!B2:D2)</f>
        <v>6 kvi név</v>
      </c>
      <c r="C2" s="537"/>
      <c r="D2" s="538"/>
      <c r="E2" s="410" t="s">
        <v>549</v>
      </c>
    </row>
    <row r="3" spans="1:5" s="233" customFormat="1" ht="24.75" thickBot="1">
      <c r="A3" s="409" t="s">
        <v>141</v>
      </c>
      <c r="B3" s="536" t="s">
        <v>338</v>
      </c>
      <c r="C3" s="537"/>
      <c r="D3" s="538"/>
      <c r="E3" s="410" t="s">
        <v>46</v>
      </c>
    </row>
    <row r="4" spans="1:5" s="234" customFormat="1" ht="15.95" customHeight="1" thickBot="1">
      <c r="A4" s="411"/>
      <c r="B4" s="411"/>
      <c r="C4" s="412"/>
      <c r="D4" s="413"/>
      <c r="E4" s="412" t="str">
        <f>IB_6.8.sz.mell!E4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CONCATENATE("6.8.2. melléklet ",IB_ALAPADATOK!A7," ",IB_ALAPADATOK!B7," ",IB_ALAPADATOK!C7," ",IB_ALAPADATOK!D7)</f>
        <v xml:space="preserve">6.8.2.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CONCATENATE(IB_6.8.1.sz.mell!B2:D2)</f>
        <v>6 kvi név</v>
      </c>
      <c r="C2" s="537"/>
      <c r="D2" s="538"/>
      <c r="E2" s="410" t="s">
        <v>549</v>
      </c>
    </row>
    <row r="3" spans="1:5" s="233" customFormat="1" ht="24.75" thickBot="1">
      <c r="A3" s="409" t="s">
        <v>141</v>
      </c>
      <c r="B3" s="536" t="s">
        <v>339</v>
      </c>
      <c r="C3" s="537"/>
      <c r="D3" s="538"/>
      <c r="E3" s="410" t="s">
        <v>47</v>
      </c>
    </row>
    <row r="4" spans="1:5" s="234" customFormat="1" ht="15.95" customHeight="1" thickBot="1">
      <c r="A4" s="411"/>
      <c r="B4" s="411"/>
      <c r="C4" s="412"/>
      <c r="D4" s="413"/>
      <c r="E4" s="412" t="str">
        <f>IB_6.8.1.sz.mell!E4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CONCATENATE("6.8.3. melléklet ",IB_ALAPADATOK!A7," ",IB_ALAPADATOK!B7," ",IB_ALAPADATOK!C7," ",IB_ALAPADATOK!D7)</f>
        <v xml:space="preserve">6.8.3.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CONCATENATE(IB_6.8.2.sz.mell!B2:D2)</f>
        <v>6 kvi név</v>
      </c>
      <c r="C2" s="537"/>
      <c r="D2" s="538"/>
      <c r="E2" s="410" t="s">
        <v>549</v>
      </c>
    </row>
    <row r="3" spans="1:5" s="233" customFormat="1" ht="24.75" thickBot="1">
      <c r="A3" s="409" t="s">
        <v>141</v>
      </c>
      <c r="B3" s="536" t="s">
        <v>434</v>
      </c>
      <c r="C3" s="537"/>
      <c r="D3" s="538"/>
      <c r="E3" s="410" t="s">
        <v>348</v>
      </c>
    </row>
    <row r="4" spans="1:5" s="234" customFormat="1" ht="15.95" customHeight="1" thickBot="1">
      <c r="A4" s="411"/>
      <c r="B4" s="411"/>
      <c r="C4" s="412"/>
      <c r="D4" s="413"/>
      <c r="E4" s="412" t="str">
        <f>IB_6.8.2.sz.mell!E4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34" t="str">
        <f>CONCATENATE("6.9. melléklet ",IB_ALAPADATOK!A7," ",IB_ALAPADATOK!B7," ",IB_ALAPADATOK!C7," ",IB_ALAPADATOK!D7)</f>
        <v xml:space="preserve">6.9. melléklet a 7/2019.(X.09.)  önkormányzati rendelethez </v>
      </c>
      <c r="C1" s="535"/>
      <c r="D1" s="535"/>
      <c r="E1" s="535"/>
    </row>
    <row r="2" spans="1:5" s="233" customFormat="1" ht="25.5" customHeight="1" thickBot="1">
      <c r="A2" s="409" t="s">
        <v>479</v>
      </c>
      <c r="B2" s="536" t="str">
        <f>CONCATENATE(IB_ALAPADATOK!B25)</f>
        <v/>
      </c>
      <c r="C2" s="537"/>
      <c r="D2" s="538"/>
      <c r="E2" s="410" t="s">
        <v>550</v>
      </c>
    </row>
    <row r="3" spans="1:5" s="233" customFormat="1" ht="24.75" thickBot="1">
      <c r="A3" s="409" t="s">
        <v>141</v>
      </c>
      <c r="B3" s="536" t="s">
        <v>319</v>
      </c>
      <c r="C3" s="537"/>
      <c r="D3" s="538"/>
      <c r="E3" s="410" t="s">
        <v>42</v>
      </c>
    </row>
    <row r="4" spans="1:5" s="234" customFormat="1" ht="15.95" customHeight="1" thickBot="1">
      <c r="A4" s="411"/>
      <c r="B4" s="411"/>
      <c r="C4" s="412"/>
      <c r="D4" s="413"/>
      <c r="E4" s="412" t="str">
        <f>'9.2.3.sz.mell'!E4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CONCATENATE("6.9.1. melléklet ",IB_ALAPADATOK!A7," ",IB_ALAPADATOK!B7," ",IB_ALAPADATOK!C7," ",IB_ALAPADATOK!D7)</f>
        <v xml:space="preserve">6.9.1.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CONCATENATE(IB_6.9.sz.mell!B2:D2)</f>
        <v/>
      </c>
      <c r="C2" s="537"/>
      <c r="D2" s="538"/>
      <c r="E2" s="410" t="s">
        <v>550</v>
      </c>
    </row>
    <row r="3" spans="1:5" s="233" customFormat="1" ht="24.75" thickBot="1">
      <c r="A3" s="409" t="s">
        <v>141</v>
      </c>
      <c r="B3" s="536" t="s">
        <v>338</v>
      </c>
      <c r="C3" s="537"/>
      <c r="D3" s="538"/>
      <c r="E3" s="410" t="s">
        <v>46</v>
      </c>
    </row>
    <row r="4" spans="1:5" s="234" customFormat="1" ht="15.95" customHeight="1" thickBot="1">
      <c r="A4" s="411"/>
      <c r="B4" s="411"/>
      <c r="C4" s="412"/>
      <c r="D4" s="413"/>
      <c r="E4" s="412" t="str">
        <f>IB_6.9.sz.mell!E4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CONCATENATE("6.9.2. melléklet ",IB_ALAPADATOK!A7," ",IB_ALAPADATOK!B7," ",IB_ALAPADATOK!C7," ",IB_ALAPADATOK!D7)</f>
        <v xml:space="preserve">6.9.2.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CONCATENATE(IB_6.9.1.sz.mell!B2:D2)</f>
        <v/>
      </c>
      <c r="C2" s="537"/>
      <c r="D2" s="538"/>
      <c r="E2" s="410" t="s">
        <v>550</v>
      </c>
    </row>
    <row r="3" spans="1:5" s="233" customFormat="1" ht="24.75" thickBot="1">
      <c r="A3" s="409" t="s">
        <v>141</v>
      </c>
      <c r="B3" s="536" t="s">
        <v>339</v>
      </c>
      <c r="C3" s="537"/>
      <c r="D3" s="538"/>
      <c r="E3" s="410" t="s">
        <v>47</v>
      </c>
    </row>
    <row r="4" spans="1:5" s="234" customFormat="1" ht="15.95" customHeight="1" thickBot="1">
      <c r="A4" s="411"/>
      <c r="B4" s="411"/>
      <c r="C4" s="412"/>
      <c r="D4" s="413"/>
      <c r="E4" s="412" t="str">
        <f>IB_6.9.1.sz.mell!E4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CONCATENATE("6.9.3. melléklet ",IB_ALAPADATOK!A7," ",IB_ALAPADATOK!B7," ",IB_ALAPADATOK!C7," ",IB_ALAPADATOK!D7)</f>
        <v xml:space="preserve">6.9.3.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CONCATENATE(IB_6.9.2.sz.mell!B2:D2)</f>
        <v/>
      </c>
      <c r="C2" s="537"/>
      <c r="D2" s="538"/>
      <c r="E2" s="410" t="s">
        <v>550</v>
      </c>
    </row>
    <row r="3" spans="1:5" s="233" customFormat="1" ht="24.75" thickBot="1">
      <c r="A3" s="409" t="s">
        <v>141</v>
      </c>
      <c r="B3" s="536" t="s">
        <v>434</v>
      </c>
      <c r="C3" s="537"/>
      <c r="D3" s="538"/>
      <c r="E3" s="410" t="s">
        <v>348</v>
      </c>
    </row>
    <row r="4" spans="1:5" s="234" customFormat="1" ht="15.95" customHeight="1" thickBot="1">
      <c r="A4" s="411"/>
      <c r="B4" s="411"/>
      <c r="C4" s="412"/>
      <c r="D4" s="413"/>
      <c r="E4" s="412" t="str">
        <f>IB_6.9.2.sz.mell!E4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I166"/>
  <sheetViews>
    <sheetView zoomScale="120" zoomScaleNormal="120" zoomScaleSheetLayoutView="100" workbookViewId="0">
      <selection activeCell="B5" sqref="B5"/>
    </sheetView>
  </sheetViews>
  <sheetFormatPr defaultRowHeight="15.75"/>
  <cols>
    <col min="1" max="1" width="9.5" style="173" customWidth="1"/>
    <col min="2" max="2" width="65.83203125" style="173" customWidth="1"/>
    <col min="3" max="3" width="17.83203125" style="174" customWidth="1"/>
    <col min="4" max="5" width="17.83203125" style="195" customWidth="1"/>
    <col min="6" max="16384" width="9.33203125" style="195"/>
  </cols>
  <sheetData>
    <row r="1" spans="1:5">
      <c r="A1" s="401"/>
      <c r="B1" s="477" t="str">
        <f>CONCATENATE("1.2. melléklet ",IB_ALAPADATOK!A7," ",IB_ALAPADATOK!B7," ",IB_ALAPADATOK!C7," ",IB_ALAPADATOK!D7)</f>
        <v xml:space="preserve">1.2. melléklet a 7/2019.(X.09.)  önkormányzati rendelethez </v>
      </c>
      <c r="C1" s="478"/>
      <c r="D1" s="478"/>
      <c r="E1" s="478"/>
    </row>
    <row r="2" spans="1:5">
      <c r="A2" s="479" t="str">
        <f>CONCATENATE(IB_ALAPADATOK!A3)</f>
        <v>BORSODNÁDASD VÁROS ÖNKORMÁNYZATA</v>
      </c>
      <c r="B2" s="480"/>
      <c r="C2" s="480"/>
      <c r="D2" s="480"/>
      <c r="E2" s="480"/>
    </row>
    <row r="3" spans="1:5">
      <c r="A3" s="479" t="s">
        <v>540</v>
      </c>
      <c r="B3" s="479"/>
      <c r="C3" s="481"/>
      <c r="D3" s="479"/>
      <c r="E3" s="479"/>
    </row>
    <row r="4" spans="1:5">
      <c r="A4" s="479" t="s">
        <v>604</v>
      </c>
      <c r="B4" s="479"/>
      <c r="C4" s="481"/>
      <c r="D4" s="479"/>
      <c r="E4" s="479"/>
    </row>
    <row r="5" spans="1:5">
      <c r="A5" s="401"/>
      <c r="B5" s="469"/>
      <c r="C5" s="402"/>
      <c r="D5" s="403"/>
      <c r="E5" s="403"/>
    </row>
    <row r="6" spans="1:5" ht="15.95" customHeight="1">
      <c r="A6" s="491" t="s">
        <v>6</v>
      </c>
      <c r="B6" s="491"/>
      <c r="C6" s="491"/>
      <c r="D6" s="491"/>
      <c r="E6" s="491"/>
    </row>
    <row r="7" spans="1:5" ht="15.95" customHeight="1" thickBot="1">
      <c r="A7" s="493" t="s">
        <v>106</v>
      </c>
      <c r="B7" s="493"/>
      <c r="C7" s="404"/>
      <c r="D7" s="403"/>
      <c r="E7" s="404" t="str">
        <f>CONCATENATE(_1.1.sz.mell.!E7)</f>
        <v xml:space="preserve"> Forintban!</v>
      </c>
    </row>
    <row r="8" spans="1:5">
      <c r="A8" s="483" t="s">
        <v>55</v>
      </c>
      <c r="B8" s="485" t="s">
        <v>8</v>
      </c>
      <c r="C8" s="487" t="str">
        <f>+CONCATENATE(LEFT(IB_ÖSSZEFÜGGÉSEK!A6,4),". évi")</f>
        <v>2019. évi</v>
      </c>
      <c r="D8" s="488"/>
      <c r="E8" s="489"/>
    </row>
    <row r="9" spans="1:5" ht="24.75" thickBot="1">
      <c r="A9" s="484"/>
      <c r="B9" s="486"/>
      <c r="C9" s="270" t="s">
        <v>437</v>
      </c>
      <c r="D9" s="269" t="s">
        <v>438</v>
      </c>
      <c r="E9" s="390" t="str">
        <f>+CONCATENATE(LEFT(IB_ÖSSZEFÜGGÉSEK!A6,4),". VI. 30.",CHAR(10),"teljesítés")</f>
        <v>2019. VI. 30.
teljesítés</v>
      </c>
    </row>
    <row r="10" spans="1:5" s="196" customFormat="1" ht="12" customHeight="1" thickBot="1">
      <c r="A10" s="192" t="s">
        <v>404</v>
      </c>
      <c r="B10" s="193" t="s">
        <v>405</v>
      </c>
      <c r="C10" s="193" t="s">
        <v>406</v>
      </c>
      <c r="D10" s="193" t="s">
        <v>408</v>
      </c>
      <c r="E10" s="271" t="s">
        <v>407</v>
      </c>
    </row>
    <row r="11" spans="1:5" s="197" customFormat="1" ht="12" customHeight="1" thickBot="1">
      <c r="A11" s="18" t="s">
        <v>9</v>
      </c>
      <c r="B11" s="19" t="s">
        <v>175</v>
      </c>
      <c r="C11" s="185">
        <f>+C12+C13+C14+C15+C16+C17</f>
        <v>306357706</v>
      </c>
      <c r="D11" s="185">
        <f>+D12+D13+D14+D15+D16+D17</f>
        <v>314679085</v>
      </c>
      <c r="E11" s="121">
        <f>+E12+E13+E14+E15+E16+E17</f>
        <v>166864604</v>
      </c>
    </row>
    <row r="12" spans="1:5" s="197" customFormat="1" ht="12" customHeight="1">
      <c r="A12" s="13" t="s">
        <v>67</v>
      </c>
      <c r="B12" s="198" t="s">
        <v>176</v>
      </c>
      <c r="C12" s="187">
        <v>141842122</v>
      </c>
      <c r="D12" s="187">
        <v>141842122</v>
      </c>
      <c r="E12" s="123">
        <v>73753225</v>
      </c>
    </row>
    <row r="13" spans="1:5" s="197" customFormat="1" ht="12" customHeight="1">
      <c r="A13" s="12" t="s">
        <v>68</v>
      </c>
      <c r="B13" s="199" t="s">
        <v>177</v>
      </c>
      <c r="C13" s="186">
        <v>56461300</v>
      </c>
      <c r="D13" s="186">
        <v>56461300</v>
      </c>
      <c r="E13" s="122">
        <v>28601771</v>
      </c>
    </row>
    <row r="14" spans="1:5" s="197" customFormat="1" ht="12" customHeight="1">
      <c r="A14" s="12" t="s">
        <v>69</v>
      </c>
      <c r="B14" s="199" t="s">
        <v>178</v>
      </c>
      <c r="C14" s="186">
        <v>104266984</v>
      </c>
      <c r="D14" s="186">
        <v>106451677</v>
      </c>
      <c r="E14" s="122">
        <v>56403526</v>
      </c>
    </row>
    <row r="15" spans="1:5" s="197" customFormat="1" ht="12" customHeight="1">
      <c r="A15" s="12" t="s">
        <v>70</v>
      </c>
      <c r="B15" s="199" t="s">
        <v>179</v>
      </c>
      <c r="C15" s="186">
        <v>3787300</v>
      </c>
      <c r="D15" s="186">
        <v>4043986</v>
      </c>
      <c r="E15" s="122">
        <v>2226082</v>
      </c>
    </row>
    <row r="16" spans="1:5" s="197" customFormat="1" ht="12" customHeight="1">
      <c r="A16" s="12" t="s">
        <v>102</v>
      </c>
      <c r="B16" s="129" t="s">
        <v>349</v>
      </c>
      <c r="C16" s="186"/>
      <c r="D16" s="186">
        <v>5880000</v>
      </c>
      <c r="E16" s="122">
        <v>5880000</v>
      </c>
    </row>
    <row r="17" spans="1:5" s="197" customFormat="1" ht="12" customHeight="1" thickBot="1">
      <c r="A17" s="14" t="s">
        <v>71</v>
      </c>
      <c r="B17" s="130" t="s">
        <v>350</v>
      </c>
      <c r="C17" s="186"/>
      <c r="D17" s="186"/>
      <c r="E17" s="122"/>
    </row>
    <row r="18" spans="1:5" s="197" customFormat="1" ht="12" customHeight="1" thickBot="1">
      <c r="A18" s="18" t="s">
        <v>10</v>
      </c>
      <c r="B18" s="128" t="s">
        <v>180</v>
      </c>
      <c r="C18" s="185">
        <f>+C19+C20+C21+C22+C23</f>
        <v>16055000</v>
      </c>
      <c r="D18" s="185">
        <f>+D19+D20+D21+D22+D23</f>
        <v>78172403</v>
      </c>
      <c r="E18" s="121">
        <f>+E19+E20+E21+E22+E23</f>
        <v>75424950</v>
      </c>
    </row>
    <row r="19" spans="1:5" s="197" customFormat="1" ht="12" customHeight="1">
      <c r="A19" s="13" t="s">
        <v>73</v>
      </c>
      <c r="B19" s="198" t="s">
        <v>181</v>
      </c>
      <c r="C19" s="187"/>
      <c r="D19" s="187"/>
      <c r="E19" s="123"/>
    </row>
    <row r="20" spans="1:5" s="197" customFormat="1" ht="12" customHeight="1">
      <c r="A20" s="12" t="s">
        <v>74</v>
      </c>
      <c r="B20" s="199" t="s">
        <v>182</v>
      </c>
      <c r="C20" s="186"/>
      <c r="D20" s="186"/>
      <c r="E20" s="122"/>
    </row>
    <row r="21" spans="1:5" s="197" customFormat="1" ht="12" customHeight="1">
      <c r="A21" s="12" t="s">
        <v>75</v>
      </c>
      <c r="B21" s="199" t="s">
        <v>341</v>
      </c>
      <c r="C21" s="186"/>
      <c r="D21" s="186"/>
      <c r="E21" s="122"/>
    </row>
    <row r="22" spans="1:5" s="197" customFormat="1" ht="12" customHeight="1">
      <c r="A22" s="12" t="s">
        <v>76</v>
      </c>
      <c r="B22" s="199" t="s">
        <v>342</v>
      </c>
      <c r="C22" s="186"/>
      <c r="D22" s="186"/>
      <c r="E22" s="122"/>
    </row>
    <row r="23" spans="1:5" s="197" customFormat="1" ht="12" customHeight="1">
      <c r="A23" s="12" t="s">
        <v>77</v>
      </c>
      <c r="B23" s="199" t="s">
        <v>183</v>
      </c>
      <c r="C23" s="186">
        <v>16055000</v>
      </c>
      <c r="D23" s="186">
        <v>78172403</v>
      </c>
      <c r="E23" s="122">
        <v>75424950</v>
      </c>
    </row>
    <row r="24" spans="1:5" s="197" customFormat="1" ht="12" customHeight="1" thickBot="1">
      <c r="A24" s="14" t="s">
        <v>84</v>
      </c>
      <c r="B24" s="130" t="s">
        <v>184</v>
      </c>
      <c r="C24" s="188"/>
      <c r="D24" s="188"/>
      <c r="E24" s="124"/>
    </row>
    <row r="25" spans="1:5" s="197" customFormat="1" ht="12" customHeight="1" thickBot="1">
      <c r="A25" s="18" t="s">
        <v>11</v>
      </c>
      <c r="B25" s="19" t="s">
        <v>185</v>
      </c>
      <c r="C25" s="185">
        <f>+C26+C27+C28+C29+C30</f>
        <v>0</v>
      </c>
      <c r="D25" s="185">
        <f>+D26+D27+D28+D29+D30</f>
        <v>2287000</v>
      </c>
      <c r="E25" s="121">
        <f>+E26+E27+E28+E29+E30</f>
        <v>1815000</v>
      </c>
    </row>
    <row r="26" spans="1:5" s="197" customFormat="1" ht="12" customHeight="1">
      <c r="A26" s="13" t="s">
        <v>56</v>
      </c>
      <c r="B26" s="198" t="s">
        <v>186</v>
      </c>
      <c r="C26" s="187"/>
      <c r="D26" s="187"/>
      <c r="E26" s="123"/>
    </row>
    <row r="27" spans="1:5" s="197" customFormat="1" ht="12" customHeight="1">
      <c r="A27" s="12" t="s">
        <v>57</v>
      </c>
      <c r="B27" s="199" t="s">
        <v>187</v>
      </c>
      <c r="C27" s="186"/>
      <c r="D27" s="186"/>
      <c r="E27" s="122"/>
    </row>
    <row r="28" spans="1:5" s="197" customFormat="1" ht="12" customHeight="1">
      <c r="A28" s="12" t="s">
        <v>58</v>
      </c>
      <c r="B28" s="199" t="s">
        <v>343</v>
      </c>
      <c r="C28" s="186"/>
      <c r="D28" s="186">
        <v>1287000</v>
      </c>
      <c r="E28" s="122">
        <v>815000</v>
      </c>
    </row>
    <row r="29" spans="1:5" s="197" customFormat="1" ht="12" customHeight="1">
      <c r="A29" s="12" t="s">
        <v>59</v>
      </c>
      <c r="B29" s="199" t="s">
        <v>344</v>
      </c>
      <c r="C29" s="186"/>
      <c r="D29" s="186"/>
      <c r="E29" s="122"/>
    </row>
    <row r="30" spans="1:5" s="197" customFormat="1" ht="12" customHeight="1">
      <c r="A30" s="12" t="s">
        <v>116</v>
      </c>
      <c r="B30" s="199" t="s">
        <v>188</v>
      </c>
      <c r="C30" s="186"/>
      <c r="D30" s="186">
        <v>1000000</v>
      </c>
      <c r="E30" s="122">
        <v>1000000</v>
      </c>
    </row>
    <row r="31" spans="1:5" s="197" customFormat="1" ht="12" customHeight="1" thickBot="1">
      <c r="A31" s="14" t="s">
        <v>117</v>
      </c>
      <c r="B31" s="200" t="s">
        <v>189</v>
      </c>
      <c r="C31" s="188"/>
      <c r="D31" s="188"/>
      <c r="E31" s="124"/>
    </row>
    <row r="32" spans="1:5" s="197" customFormat="1" ht="12" customHeight="1" thickBot="1">
      <c r="A32" s="18" t="s">
        <v>118</v>
      </c>
      <c r="B32" s="19" t="s">
        <v>502</v>
      </c>
      <c r="C32" s="191">
        <f>SUM(C33:C39)</f>
        <v>25084500</v>
      </c>
      <c r="D32" s="191">
        <f>SUM(D33:D39)</f>
        <v>30158987</v>
      </c>
      <c r="E32" s="227">
        <f>SUM(E33:E39)</f>
        <v>10883138</v>
      </c>
    </row>
    <row r="33" spans="1:5" s="197" customFormat="1" ht="12" customHeight="1">
      <c r="A33" s="13" t="s">
        <v>190</v>
      </c>
      <c r="B33" s="198" t="s">
        <v>503</v>
      </c>
      <c r="C33" s="187"/>
      <c r="D33" s="187">
        <v>0</v>
      </c>
      <c r="E33" s="123">
        <v>0</v>
      </c>
    </row>
    <row r="34" spans="1:5" s="197" customFormat="1" ht="12" customHeight="1">
      <c r="A34" s="12" t="s">
        <v>191</v>
      </c>
      <c r="B34" s="199" t="s">
        <v>504</v>
      </c>
      <c r="C34" s="186"/>
      <c r="D34" s="186"/>
      <c r="E34" s="122"/>
    </row>
    <row r="35" spans="1:5" s="197" customFormat="1" ht="12" customHeight="1">
      <c r="A35" s="12" t="s">
        <v>192</v>
      </c>
      <c r="B35" s="199" t="s">
        <v>505</v>
      </c>
      <c r="C35" s="186">
        <v>19250000</v>
      </c>
      <c r="D35" s="186">
        <v>23982470</v>
      </c>
      <c r="E35" s="122">
        <v>8093610</v>
      </c>
    </row>
    <row r="36" spans="1:5" s="197" customFormat="1" ht="12" customHeight="1">
      <c r="A36" s="12" t="s">
        <v>193</v>
      </c>
      <c r="B36" s="199" t="s">
        <v>506</v>
      </c>
      <c r="C36" s="186"/>
      <c r="D36" s="186"/>
      <c r="E36" s="122"/>
    </row>
    <row r="37" spans="1:5" s="197" customFormat="1" ht="12" customHeight="1">
      <c r="A37" s="12" t="s">
        <v>507</v>
      </c>
      <c r="B37" s="199" t="s">
        <v>194</v>
      </c>
      <c r="C37" s="186">
        <v>5788500</v>
      </c>
      <c r="D37" s="186">
        <v>5788500</v>
      </c>
      <c r="E37" s="122">
        <v>2652003</v>
      </c>
    </row>
    <row r="38" spans="1:5" s="197" customFormat="1" ht="12" customHeight="1">
      <c r="A38" s="12" t="s">
        <v>508</v>
      </c>
      <c r="B38" s="199" t="s">
        <v>596</v>
      </c>
      <c r="C38" s="186"/>
      <c r="D38" s="186"/>
      <c r="E38" s="122"/>
    </row>
    <row r="39" spans="1:5" s="197" customFormat="1" ht="12" customHeight="1" thickBot="1">
      <c r="A39" s="14" t="s">
        <v>509</v>
      </c>
      <c r="B39" s="349" t="s">
        <v>195</v>
      </c>
      <c r="C39" s="188">
        <v>46000</v>
      </c>
      <c r="D39" s="188">
        <v>388017</v>
      </c>
      <c r="E39" s="124">
        <v>137525</v>
      </c>
    </row>
    <row r="40" spans="1:5" s="197" customFormat="1" ht="12" customHeight="1" thickBot="1">
      <c r="A40" s="18" t="s">
        <v>13</v>
      </c>
      <c r="B40" s="19" t="s">
        <v>351</v>
      </c>
      <c r="C40" s="185">
        <f>SUM(C41:C51)</f>
        <v>40857100</v>
      </c>
      <c r="D40" s="185">
        <f>SUM(D41:D51)</f>
        <v>48221637</v>
      </c>
      <c r="E40" s="121">
        <f>SUM(E41:E51)</f>
        <v>31015971</v>
      </c>
    </row>
    <row r="41" spans="1:5" s="197" customFormat="1" ht="12" customHeight="1">
      <c r="A41" s="13" t="s">
        <v>60</v>
      </c>
      <c r="B41" s="198" t="s">
        <v>198</v>
      </c>
      <c r="C41" s="187">
        <v>3814000</v>
      </c>
      <c r="D41" s="187">
        <v>3814000</v>
      </c>
      <c r="E41" s="123">
        <v>774351</v>
      </c>
    </row>
    <row r="42" spans="1:5" s="197" customFormat="1" ht="12" customHeight="1">
      <c r="A42" s="12" t="s">
        <v>61</v>
      </c>
      <c r="B42" s="199" t="s">
        <v>199</v>
      </c>
      <c r="C42" s="186">
        <v>9855500</v>
      </c>
      <c r="D42" s="186">
        <v>15863121</v>
      </c>
      <c r="E42" s="122">
        <v>14160628</v>
      </c>
    </row>
    <row r="43" spans="1:5" s="197" customFormat="1" ht="12" customHeight="1">
      <c r="A43" s="12" t="s">
        <v>62</v>
      </c>
      <c r="B43" s="199" t="s">
        <v>200</v>
      </c>
      <c r="C43" s="186"/>
      <c r="D43" s="186">
        <v>135136</v>
      </c>
      <c r="E43" s="122">
        <v>129876</v>
      </c>
    </row>
    <row r="44" spans="1:5" s="197" customFormat="1" ht="12" customHeight="1">
      <c r="A44" s="12" t="s">
        <v>120</v>
      </c>
      <c r="B44" s="199" t="s">
        <v>201</v>
      </c>
      <c r="C44" s="186"/>
      <c r="D44" s="186"/>
      <c r="E44" s="122"/>
    </row>
    <row r="45" spans="1:5" s="197" customFormat="1" ht="12" customHeight="1">
      <c r="A45" s="12" t="s">
        <v>121</v>
      </c>
      <c r="B45" s="199" t="s">
        <v>202</v>
      </c>
      <c r="C45" s="186">
        <v>18550500</v>
      </c>
      <c r="D45" s="186">
        <v>16675930</v>
      </c>
      <c r="E45" s="122">
        <v>8213577</v>
      </c>
    </row>
    <row r="46" spans="1:5" s="197" customFormat="1" ht="12" customHeight="1">
      <c r="A46" s="12" t="s">
        <v>122</v>
      </c>
      <c r="B46" s="199" t="s">
        <v>203</v>
      </c>
      <c r="C46" s="186">
        <v>8592100</v>
      </c>
      <c r="D46" s="186">
        <v>8592100</v>
      </c>
      <c r="E46" s="122">
        <v>5209629</v>
      </c>
    </row>
    <row r="47" spans="1:5" s="197" customFormat="1" ht="12" customHeight="1">
      <c r="A47" s="12" t="s">
        <v>123</v>
      </c>
      <c r="B47" s="199" t="s">
        <v>204</v>
      </c>
      <c r="C47" s="186"/>
      <c r="D47" s="186"/>
      <c r="E47" s="122"/>
    </row>
    <row r="48" spans="1:5" s="197" customFormat="1" ht="12" customHeight="1">
      <c r="A48" s="12" t="s">
        <v>124</v>
      </c>
      <c r="B48" s="199" t="s">
        <v>510</v>
      </c>
      <c r="C48" s="186">
        <v>45000</v>
      </c>
      <c r="D48" s="186">
        <v>50269</v>
      </c>
      <c r="E48" s="122">
        <v>24775</v>
      </c>
    </row>
    <row r="49" spans="1:5" s="197" customFormat="1" ht="12" customHeight="1">
      <c r="A49" s="12" t="s">
        <v>196</v>
      </c>
      <c r="B49" s="199" t="s">
        <v>206</v>
      </c>
      <c r="C49" s="189"/>
      <c r="D49" s="189">
        <v>282540</v>
      </c>
      <c r="E49" s="125">
        <v>282540</v>
      </c>
    </row>
    <row r="50" spans="1:5" s="197" customFormat="1" ht="12" customHeight="1">
      <c r="A50" s="14" t="s">
        <v>197</v>
      </c>
      <c r="B50" s="200" t="s">
        <v>353</v>
      </c>
      <c r="C50" s="190"/>
      <c r="D50" s="190">
        <v>124139</v>
      </c>
      <c r="E50" s="126">
        <v>124139</v>
      </c>
    </row>
    <row r="51" spans="1:5" s="197" customFormat="1" ht="12" customHeight="1" thickBot="1">
      <c r="A51" s="14" t="s">
        <v>352</v>
      </c>
      <c r="B51" s="130" t="s">
        <v>207</v>
      </c>
      <c r="C51" s="190"/>
      <c r="D51" s="190">
        <v>2684402</v>
      </c>
      <c r="E51" s="126">
        <v>2096456</v>
      </c>
    </row>
    <row r="52" spans="1:5" s="197" customFormat="1" ht="12" customHeight="1" thickBot="1">
      <c r="A52" s="18" t="s">
        <v>14</v>
      </c>
      <c r="B52" s="19" t="s">
        <v>208</v>
      </c>
      <c r="C52" s="185">
        <f>SUM(C53:C57)</f>
        <v>0</v>
      </c>
      <c r="D52" s="185">
        <f>SUM(D53:D57)</f>
        <v>1575</v>
      </c>
      <c r="E52" s="121">
        <f>SUM(E53:E57)</f>
        <v>1575</v>
      </c>
    </row>
    <row r="53" spans="1:5" s="197" customFormat="1" ht="12" customHeight="1">
      <c r="A53" s="13" t="s">
        <v>63</v>
      </c>
      <c r="B53" s="198" t="s">
        <v>212</v>
      </c>
      <c r="C53" s="238"/>
      <c r="D53" s="238"/>
      <c r="E53" s="127"/>
    </row>
    <row r="54" spans="1:5" s="197" customFormat="1" ht="12" customHeight="1">
      <c r="A54" s="12" t="s">
        <v>64</v>
      </c>
      <c r="B54" s="199" t="s">
        <v>213</v>
      </c>
      <c r="C54" s="189"/>
      <c r="D54" s="189"/>
      <c r="E54" s="125"/>
    </row>
    <row r="55" spans="1:5" s="197" customFormat="1" ht="12" customHeight="1">
      <c r="A55" s="12" t="s">
        <v>209</v>
      </c>
      <c r="B55" s="199" t="s">
        <v>214</v>
      </c>
      <c r="C55" s="189"/>
      <c r="D55" s="189">
        <v>1575</v>
      </c>
      <c r="E55" s="125">
        <v>1575</v>
      </c>
    </row>
    <row r="56" spans="1:5" s="197" customFormat="1" ht="12" customHeight="1">
      <c r="A56" s="12" t="s">
        <v>210</v>
      </c>
      <c r="B56" s="199" t="s">
        <v>215</v>
      </c>
      <c r="C56" s="189"/>
      <c r="D56" s="189"/>
      <c r="E56" s="125"/>
    </row>
    <row r="57" spans="1:5" s="197" customFormat="1" ht="12" customHeight="1" thickBot="1">
      <c r="A57" s="14" t="s">
        <v>211</v>
      </c>
      <c r="B57" s="130" t="s">
        <v>216</v>
      </c>
      <c r="C57" s="190"/>
      <c r="D57" s="190"/>
      <c r="E57" s="126"/>
    </row>
    <row r="58" spans="1:5" s="197" customFormat="1" ht="12" customHeight="1" thickBot="1">
      <c r="A58" s="18" t="s">
        <v>125</v>
      </c>
      <c r="B58" s="19" t="s">
        <v>217</v>
      </c>
      <c r="C58" s="185">
        <f>SUM(C59:C61)</f>
        <v>0</v>
      </c>
      <c r="D58" s="185">
        <f>SUM(D59:D61)</f>
        <v>0</v>
      </c>
      <c r="E58" s="121">
        <f>SUM(E59:E61)</f>
        <v>0</v>
      </c>
    </row>
    <row r="59" spans="1:5" s="197" customFormat="1" ht="12" customHeight="1">
      <c r="A59" s="13" t="s">
        <v>65</v>
      </c>
      <c r="B59" s="198" t="s">
        <v>218</v>
      </c>
      <c r="C59" s="187"/>
      <c r="D59" s="187"/>
      <c r="E59" s="123"/>
    </row>
    <row r="60" spans="1:5" s="197" customFormat="1" ht="12" customHeight="1">
      <c r="A60" s="12" t="s">
        <v>66</v>
      </c>
      <c r="B60" s="199" t="s">
        <v>345</v>
      </c>
      <c r="C60" s="186"/>
      <c r="D60" s="186"/>
      <c r="E60" s="122"/>
    </row>
    <row r="61" spans="1:5" s="197" customFormat="1" ht="12" customHeight="1">
      <c r="A61" s="12" t="s">
        <v>221</v>
      </c>
      <c r="B61" s="199" t="s">
        <v>219</v>
      </c>
      <c r="C61" s="186"/>
      <c r="D61" s="186"/>
      <c r="E61" s="122"/>
    </row>
    <row r="62" spans="1:5" s="197" customFormat="1" ht="12" customHeight="1" thickBot="1">
      <c r="A62" s="14" t="s">
        <v>222</v>
      </c>
      <c r="B62" s="130" t="s">
        <v>220</v>
      </c>
      <c r="C62" s="188"/>
      <c r="D62" s="188"/>
      <c r="E62" s="124"/>
    </row>
    <row r="63" spans="1:5" s="197" customFormat="1" ht="12" customHeight="1" thickBot="1">
      <c r="A63" s="18" t="s">
        <v>16</v>
      </c>
      <c r="B63" s="128" t="s">
        <v>223</v>
      </c>
      <c r="C63" s="185">
        <f>SUM(C64:C66)</f>
        <v>0</v>
      </c>
      <c r="D63" s="185">
        <f>SUM(D64:D66)</f>
        <v>966322710</v>
      </c>
      <c r="E63" s="121">
        <f>SUM(E64:E66)</f>
        <v>966322710</v>
      </c>
    </row>
    <row r="64" spans="1:5" s="197" customFormat="1" ht="12" customHeight="1">
      <c r="A64" s="13" t="s">
        <v>126</v>
      </c>
      <c r="B64" s="198" t="s">
        <v>225</v>
      </c>
      <c r="C64" s="189"/>
      <c r="D64" s="189"/>
      <c r="E64" s="125"/>
    </row>
    <row r="65" spans="1:5" s="197" customFormat="1" ht="12" customHeight="1">
      <c r="A65" s="12" t="s">
        <v>127</v>
      </c>
      <c r="B65" s="199" t="s">
        <v>346</v>
      </c>
      <c r="C65" s="189"/>
      <c r="D65" s="189"/>
      <c r="E65" s="125"/>
    </row>
    <row r="66" spans="1:5" s="197" customFormat="1" ht="12" customHeight="1">
      <c r="A66" s="12" t="s">
        <v>158</v>
      </c>
      <c r="B66" s="199" t="s">
        <v>226</v>
      </c>
      <c r="C66" s="189"/>
      <c r="D66" s="189">
        <v>966322710</v>
      </c>
      <c r="E66" s="125">
        <v>966322710</v>
      </c>
    </row>
    <row r="67" spans="1:5" s="197" customFormat="1" ht="12" customHeight="1" thickBot="1">
      <c r="A67" s="14" t="s">
        <v>224</v>
      </c>
      <c r="B67" s="130" t="s">
        <v>227</v>
      </c>
      <c r="C67" s="189"/>
      <c r="D67" s="189"/>
      <c r="E67" s="125"/>
    </row>
    <row r="68" spans="1:5" s="197" customFormat="1" ht="12" customHeight="1" thickBot="1">
      <c r="A68" s="253" t="s">
        <v>393</v>
      </c>
      <c r="B68" s="19" t="s">
        <v>228</v>
      </c>
      <c r="C68" s="191">
        <f>+C11+C18+C25+C32+C40+C52+C58+C63</f>
        <v>388354306</v>
      </c>
      <c r="D68" s="191">
        <f>+D11+D18+D25+D32+D40+D52+D58+D63</f>
        <v>1439843397</v>
      </c>
      <c r="E68" s="227">
        <f>+E11+E18+E25+E32+E40+E52+E58+E63</f>
        <v>1252327948</v>
      </c>
    </row>
    <row r="69" spans="1:5" s="197" customFormat="1" ht="12" customHeight="1" thickBot="1">
      <c r="A69" s="239" t="s">
        <v>229</v>
      </c>
      <c r="B69" s="128" t="s">
        <v>230</v>
      </c>
      <c r="C69" s="185">
        <f>SUM(C70:C72)</f>
        <v>0</v>
      </c>
      <c r="D69" s="185">
        <f>SUM(D70:D72)</f>
        <v>0</v>
      </c>
      <c r="E69" s="121">
        <f>SUM(E70:E72)</f>
        <v>0</v>
      </c>
    </row>
    <row r="70" spans="1:5" s="197" customFormat="1" ht="12" customHeight="1">
      <c r="A70" s="13" t="s">
        <v>258</v>
      </c>
      <c r="B70" s="198" t="s">
        <v>231</v>
      </c>
      <c r="C70" s="189"/>
      <c r="D70" s="189"/>
      <c r="E70" s="125"/>
    </row>
    <row r="71" spans="1:5" s="197" customFormat="1" ht="12" customHeight="1">
      <c r="A71" s="12" t="s">
        <v>267</v>
      </c>
      <c r="B71" s="199" t="s">
        <v>232</v>
      </c>
      <c r="C71" s="189"/>
      <c r="D71" s="189"/>
      <c r="E71" s="125"/>
    </row>
    <row r="72" spans="1:5" s="197" customFormat="1" ht="12" customHeight="1" thickBot="1">
      <c r="A72" s="14" t="s">
        <v>268</v>
      </c>
      <c r="B72" s="249" t="s">
        <v>378</v>
      </c>
      <c r="C72" s="189"/>
      <c r="D72" s="189"/>
      <c r="E72" s="125"/>
    </row>
    <row r="73" spans="1:5" s="197" customFormat="1" ht="12" customHeight="1" thickBot="1">
      <c r="A73" s="239" t="s">
        <v>234</v>
      </c>
      <c r="B73" s="128" t="s">
        <v>235</v>
      </c>
      <c r="C73" s="185">
        <f>SUM(C74:C77)</f>
        <v>0</v>
      </c>
      <c r="D73" s="185">
        <f>SUM(D74:D77)</f>
        <v>30000000</v>
      </c>
      <c r="E73" s="121">
        <f>SUM(E74:E77)</f>
        <v>30000000</v>
      </c>
    </row>
    <row r="74" spans="1:5" s="197" customFormat="1" ht="12" customHeight="1">
      <c r="A74" s="13" t="s">
        <v>103</v>
      </c>
      <c r="B74" s="388" t="s">
        <v>236</v>
      </c>
      <c r="C74" s="189"/>
      <c r="D74" s="189"/>
      <c r="E74" s="125"/>
    </row>
    <row r="75" spans="1:5" s="197" customFormat="1" ht="12" customHeight="1">
      <c r="A75" s="12" t="s">
        <v>104</v>
      </c>
      <c r="B75" s="388" t="s">
        <v>517</v>
      </c>
      <c r="C75" s="189"/>
      <c r="D75" s="189"/>
      <c r="E75" s="125"/>
    </row>
    <row r="76" spans="1:5" s="197" customFormat="1" ht="12" customHeight="1">
      <c r="A76" s="12" t="s">
        <v>259</v>
      </c>
      <c r="B76" s="388" t="s">
        <v>237</v>
      </c>
      <c r="C76" s="189"/>
      <c r="D76" s="189">
        <v>30000000</v>
      </c>
      <c r="E76" s="125">
        <v>30000000</v>
      </c>
    </row>
    <row r="77" spans="1:5" s="197" customFormat="1" ht="12" customHeight="1" thickBot="1">
      <c r="A77" s="14" t="s">
        <v>260</v>
      </c>
      <c r="B77" s="389" t="s">
        <v>518</v>
      </c>
      <c r="C77" s="189"/>
      <c r="D77" s="189"/>
      <c r="E77" s="125"/>
    </row>
    <row r="78" spans="1:5" s="197" customFormat="1" ht="12" customHeight="1" thickBot="1">
      <c r="A78" s="239" t="s">
        <v>238</v>
      </c>
      <c r="B78" s="128" t="s">
        <v>239</v>
      </c>
      <c r="C78" s="185">
        <f>SUM(C79:C80)</f>
        <v>647888694</v>
      </c>
      <c r="D78" s="185">
        <f>SUM(D79:D80)</f>
        <v>1283786630</v>
      </c>
      <c r="E78" s="121">
        <f>SUM(E79:E80)</f>
        <v>1283786630</v>
      </c>
    </row>
    <row r="79" spans="1:5" s="197" customFormat="1" ht="12" customHeight="1">
      <c r="A79" s="13" t="s">
        <v>261</v>
      </c>
      <c r="B79" s="198" t="s">
        <v>240</v>
      </c>
      <c r="C79" s="189">
        <v>647888694</v>
      </c>
      <c r="D79" s="189">
        <v>1283786630</v>
      </c>
      <c r="E79" s="125">
        <v>1283786630</v>
      </c>
    </row>
    <row r="80" spans="1:5" s="197" customFormat="1" ht="12" customHeight="1" thickBot="1">
      <c r="A80" s="14" t="s">
        <v>262</v>
      </c>
      <c r="B80" s="130" t="s">
        <v>241</v>
      </c>
      <c r="C80" s="189"/>
      <c r="D80" s="189"/>
      <c r="E80" s="125"/>
    </row>
    <row r="81" spans="1:5" s="197" customFormat="1" ht="12" customHeight="1" thickBot="1">
      <c r="A81" s="239" t="s">
        <v>242</v>
      </c>
      <c r="B81" s="128" t="s">
        <v>243</v>
      </c>
      <c r="C81" s="185">
        <f>SUM(C82:C84)</f>
        <v>100000000</v>
      </c>
      <c r="D81" s="185">
        <f>SUM(D82:D84)</f>
        <v>0</v>
      </c>
      <c r="E81" s="121">
        <f>SUM(E82:E84)</f>
        <v>0</v>
      </c>
    </row>
    <row r="82" spans="1:5" s="197" customFormat="1" ht="12" customHeight="1">
      <c r="A82" s="13" t="s">
        <v>263</v>
      </c>
      <c r="B82" s="198" t="s">
        <v>244</v>
      </c>
      <c r="C82" s="189"/>
      <c r="D82" s="189"/>
      <c r="E82" s="125"/>
    </row>
    <row r="83" spans="1:5" s="197" customFormat="1" ht="12" customHeight="1">
      <c r="A83" s="12" t="s">
        <v>264</v>
      </c>
      <c r="B83" s="199" t="s">
        <v>245</v>
      </c>
      <c r="C83" s="189"/>
      <c r="D83" s="189"/>
      <c r="E83" s="125"/>
    </row>
    <row r="84" spans="1:5" s="197" customFormat="1" ht="12" customHeight="1" thickBot="1">
      <c r="A84" s="14" t="s">
        <v>265</v>
      </c>
      <c r="B84" s="130" t="s">
        <v>519</v>
      </c>
      <c r="C84" s="189">
        <v>100000000</v>
      </c>
      <c r="D84" s="189"/>
      <c r="E84" s="125"/>
    </row>
    <row r="85" spans="1:5" s="197" customFormat="1" ht="12" customHeight="1" thickBot="1">
      <c r="A85" s="239" t="s">
        <v>246</v>
      </c>
      <c r="B85" s="128" t="s">
        <v>266</v>
      </c>
      <c r="C85" s="185">
        <f>SUM(C86:C89)</f>
        <v>0</v>
      </c>
      <c r="D85" s="185">
        <f>SUM(D86:D89)</f>
        <v>0</v>
      </c>
      <c r="E85" s="121">
        <f>SUM(E86:E89)</f>
        <v>0</v>
      </c>
    </row>
    <row r="86" spans="1:5" s="197" customFormat="1" ht="12" customHeight="1">
      <c r="A86" s="202" t="s">
        <v>247</v>
      </c>
      <c r="B86" s="198" t="s">
        <v>248</v>
      </c>
      <c r="C86" s="189"/>
      <c r="D86" s="189"/>
      <c r="E86" s="125"/>
    </row>
    <row r="87" spans="1:5" s="197" customFormat="1" ht="12" customHeight="1">
      <c r="A87" s="203" t="s">
        <v>249</v>
      </c>
      <c r="B87" s="199" t="s">
        <v>250</v>
      </c>
      <c r="C87" s="189"/>
      <c r="D87" s="189"/>
      <c r="E87" s="125"/>
    </row>
    <row r="88" spans="1:5" s="197" customFormat="1" ht="12" customHeight="1">
      <c r="A88" s="203" t="s">
        <v>251</v>
      </c>
      <c r="B88" s="199" t="s">
        <v>252</v>
      </c>
      <c r="C88" s="189"/>
      <c r="D88" s="189"/>
      <c r="E88" s="125"/>
    </row>
    <row r="89" spans="1:5" s="197" customFormat="1" ht="12" customHeight="1" thickBot="1">
      <c r="A89" s="204" t="s">
        <v>253</v>
      </c>
      <c r="B89" s="130" t="s">
        <v>254</v>
      </c>
      <c r="C89" s="189"/>
      <c r="D89" s="189"/>
      <c r="E89" s="125"/>
    </row>
    <row r="90" spans="1:5" s="197" customFormat="1" ht="12" customHeight="1" thickBot="1">
      <c r="A90" s="239" t="s">
        <v>255</v>
      </c>
      <c r="B90" s="128" t="s">
        <v>392</v>
      </c>
      <c r="C90" s="241"/>
      <c r="D90" s="241"/>
      <c r="E90" s="242"/>
    </row>
    <row r="91" spans="1:5" s="197" customFormat="1" ht="13.5" customHeight="1" thickBot="1">
      <c r="A91" s="239" t="s">
        <v>257</v>
      </c>
      <c r="B91" s="128" t="s">
        <v>256</v>
      </c>
      <c r="C91" s="241"/>
      <c r="D91" s="241"/>
      <c r="E91" s="242"/>
    </row>
    <row r="92" spans="1:5" s="197" customFormat="1" ht="15.75" customHeight="1" thickBot="1">
      <c r="A92" s="239" t="s">
        <v>269</v>
      </c>
      <c r="B92" s="205" t="s">
        <v>395</v>
      </c>
      <c r="C92" s="191">
        <f>+C69+C73+C78+C81+C85+C91+C90</f>
        <v>747888694</v>
      </c>
      <c r="D92" s="191">
        <f>+D69+D73+D78+D81+D85+D91+D90</f>
        <v>1313786630</v>
      </c>
      <c r="E92" s="227">
        <f>+E69+E73+E78+E81+E85+E91+E90</f>
        <v>1313786630</v>
      </c>
    </row>
    <row r="93" spans="1:5" s="197" customFormat="1" ht="25.5" customHeight="1" thickBot="1">
      <c r="A93" s="240" t="s">
        <v>394</v>
      </c>
      <c r="B93" s="206" t="s">
        <v>396</v>
      </c>
      <c r="C93" s="191">
        <f>+C68+C92</f>
        <v>1136243000</v>
      </c>
      <c r="D93" s="191">
        <f>+D68+D92</f>
        <v>2753630027</v>
      </c>
      <c r="E93" s="227">
        <f>+E68+E92</f>
        <v>2566114578</v>
      </c>
    </row>
    <row r="94" spans="1:5" s="197" customFormat="1" ht="15.2" customHeight="1">
      <c r="A94" s="3"/>
      <c r="B94" s="4"/>
      <c r="C94" s="132"/>
    </row>
    <row r="95" spans="1:5" ht="16.5" customHeight="1">
      <c r="A95" s="492" t="s">
        <v>37</v>
      </c>
      <c r="B95" s="492"/>
      <c r="C95" s="492"/>
      <c r="D95" s="492"/>
      <c r="E95" s="492"/>
    </row>
    <row r="96" spans="1:5" s="207" customFormat="1" ht="16.5" customHeight="1" thickBot="1">
      <c r="A96" s="494" t="s">
        <v>107</v>
      </c>
      <c r="B96" s="494"/>
      <c r="C96" s="63"/>
      <c r="E96" s="63" t="str">
        <f>E7</f>
        <v xml:space="preserve"> Forintban!</v>
      </c>
    </row>
    <row r="97" spans="1:5">
      <c r="A97" s="483" t="s">
        <v>55</v>
      </c>
      <c r="B97" s="485" t="s">
        <v>439</v>
      </c>
      <c r="C97" s="487" t="str">
        <f>+CONCATENATE(LEFT(IB_ÖSSZEFÜGGÉSEK!A6,4),". évi")</f>
        <v>2019. évi</v>
      </c>
      <c r="D97" s="488"/>
      <c r="E97" s="489"/>
    </row>
    <row r="98" spans="1:5" ht="24.75" thickBot="1">
      <c r="A98" s="484"/>
      <c r="B98" s="486"/>
      <c r="C98" s="270" t="s">
        <v>437</v>
      </c>
      <c r="D98" s="269" t="s">
        <v>438</v>
      </c>
      <c r="E98" s="390" t="str">
        <f>+CONCATENATE(LEFT(IB_ÖSSZEFÜGGÉSEK!A6,4),". VI. 30.",CHAR(10),"teljesítés")</f>
        <v>2019. VI. 30.
teljesítés</v>
      </c>
    </row>
    <row r="99" spans="1:5" s="196" customFormat="1" ht="12" customHeight="1" thickBot="1">
      <c r="A99" s="25" t="s">
        <v>404</v>
      </c>
      <c r="B99" s="26" t="s">
        <v>405</v>
      </c>
      <c r="C99" s="26" t="s">
        <v>406</v>
      </c>
      <c r="D99" s="26" t="s">
        <v>408</v>
      </c>
      <c r="E99" s="281" t="s">
        <v>407</v>
      </c>
    </row>
    <row r="100" spans="1:5" ht="12" customHeight="1" thickBot="1">
      <c r="A100" s="20" t="s">
        <v>9</v>
      </c>
      <c r="B100" s="24" t="s">
        <v>354</v>
      </c>
      <c r="C100" s="184">
        <f>C101+C102+C103+C104+C105+C118</f>
        <v>548935073</v>
      </c>
      <c r="D100" s="184">
        <f>D101+D102+D103+D104+D105+D118</f>
        <v>960538843</v>
      </c>
      <c r="E100" s="256">
        <f>E101+E102+E103+E104+E105+E118</f>
        <v>571766203</v>
      </c>
    </row>
    <row r="101" spans="1:5" ht="12" customHeight="1">
      <c r="A101" s="15" t="s">
        <v>67</v>
      </c>
      <c r="B101" s="8" t="s">
        <v>38</v>
      </c>
      <c r="C101" s="263">
        <v>221968200</v>
      </c>
      <c r="D101" s="263">
        <v>351369976</v>
      </c>
      <c r="E101" s="257">
        <v>185693801</v>
      </c>
    </row>
    <row r="102" spans="1:5" ht="12" customHeight="1">
      <c r="A102" s="12" t="s">
        <v>68</v>
      </c>
      <c r="B102" s="6" t="s">
        <v>128</v>
      </c>
      <c r="C102" s="186">
        <v>41239100</v>
      </c>
      <c r="D102" s="186">
        <v>69059234</v>
      </c>
      <c r="E102" s="122">
        <v>30731229</v>
      </c>
    </row>
    <row r="103" spans="1:5" ht="12" customHeight="1">
      <c r="A103" s="12" t="s">
        <v>69</v>
      </c>
      <c r="B103" s="6" t="s">
        <v>95</v>
      </c>
      <c r="C103" s="188">
        <v>253478273</v>
      </c>
      <c r="D103" s="188">
        <v>492305704</v>
      </c>
      <c r="E103" s="124">
        <v>325642116</v>
      </c>
    </row>
    <row r="104" spans="1:5" ht="12" customHeight="1">
      <c r="A104" s="12" t="s">
        <v>70</v>
      </c>
      <c r="B104" s="9" t="s">
        <v>129</v>
      </c>
      <c r="C104" s="188">
        <v>8429500</v>
      </c>
      <c r="D104" s="188">
        <v>8429500</v>
      </c>
      <c r="E104" s="124">
        <v>4102276</v>
      </c>
    </row>
    <row r="105" spans="1:5" ht="12" customHeight="1">
      <c r="A105" s="12" t="s">
        <v>79</v>
      </c>
      <c r="B105" s="17" t="s">
        <v>130</v>
      </c>
      <c r="C105" s="188">
        <v>23820000</v>
      </c>
      <c r="D105" s="188">
        <v>39374429</v>
      </c>
      <c r="E105" s="124">
        <v>25596781</v>
      </c>
    </row>
    <row r="106" spans="1:5" ht="12" customHeight="1">
      <c r="A106" s="12" t="s">
        <v>71</v>
      </c>
      <c r="B106" s="6" t="s">
        <v>359</v>
      </c>
      <c r="C106" s="188"/>
      <c r="D106" s="188">
        <v>15214429</v>
      </c>
      <c r="E106" s="124">
        <v>15214429</v>
      </c>
    </row>
    <row r="107" spans="1:5" ht="12" customHeight="1">
      <c r="A107" s="12" t="s">
        <v>72</v>
      </c>
      <c r="B107" s="67" t="s">
        <v>358</v>
      </c>
      <c r="C107" s="188"/>
      <c r="D107" s="188"/>
      <c r="E107" s="124"/>
    </row>
    <row r="108" spans="1:5" ht="12" customHeight="1">
      <c r="A108" s="12" t="s">
        <v>80</v>
      </c>
      <c r="B108" s="67" t="s">
        <v>357</v>
      </c>
      <c r="C108" s="188"/>
      <c r="D108" s="188"/>
      <c r="E108" s="124"/>
    </row>
    <row r="109" spans="1:5" ht="12" customHeight="1">
      <c r="A109" s="12" t="s">
        <v>81</v>
      </c>
      <c r="B109" s="65" t="s">
        <v>272</v>
      </c>
      <c r="C109" s="188"/>
      <c r="D109" s="188"/>
      <c r="E109" s="124"/>
    </row>
    <row r="110" spans="1:5" ht="12" customHeight="1">
      <c r="A110" s="12" t="s">
        <v>82</v>
      </c>
      <c r="B110" s="66" t="s">
        <v>273</v>
      </c>
      <c r="C110" s="188"/>
      <c r="D110" s="188"/>
      <c r="E110" s="124"/>
    </row>
    <row r="111" spans="1:5" ht="12" customHeight="1">
      <c r="A111" s="12" t="s">
        <v>83</v>
      </c>
      <c r="B111" s="66" t="s">
        <v>274</v>
      </c>
      <c r="C111" s="188"/>
      <c r="D111" s="188"/>
      <c r="E111" s="124"/>
    </row>
    <row r="112" spans="1:5" ht="12" customHeight="1">
      <c r="A112" s="12" t="s">
        <v>85</v>
      </c>
      <c r="B112" s="65" t="s">
        <v>275</v>
      </c>
      <c r="C112" s="188">
        <v>15919000</v>
      </c>
      <c r="D112" s="188">
        <v>15919000</v>
      </c>
      <c r="E112" s="124">
        <v>7967552</v>
      </c>
    </row>
    <row r="113" spans="1:5" ht="12" customHeight="1">
      <c r="A113" s="12" t="s">
        <v>131</v>
      </c>
      <c r="B113" s="65" t="s">
        <v>276</v>
      </c>
      <c r="C113" s="188"/>
      <c r="D113" s="188"/>
      <c r="E113" s="124"/>
    </row>
    <row r="114" spans="1:5" ht="12" customHeight="1">
      <c r="A114" s="12" t="s">
        <v>270</v>
      </c>
      <c r="B114" s="66" t="s">
        <v>277</v>
      </c>
      <c r="C114" s="188"/>
      <c r="D114" s="188">
        <v>290000</v>
      </c>
      <c r="E114" s="124">
        <v>290000</v>
      </c>
    </row>
    <row r="115" spans="1:5" ht="12" customHeight="1">
      <c r="A115" s="11" t="s">
        <v>271</v>
      </c>
      <c r="B115" s="67" t="s">
        <v>278</v>
      </c>
      <c r="C115" s="188"/>
      <c r="D115" s="188"/>
      <c r="E115" s="124"/>
    </row>
    <row r="116" spans="1:5" ht="12" customHeight="1">
      <c r="A116" s="12" t="s">
        <v>355</v>
      </c>
      <c r="B116" s="67" t="s">
        <v>279</v>
      </c>
      <c r="C116" s="188"/>
      <c r="D116" s="188"/>
      <c r="E116" s="124"/>
    </row>
    <row r="117" spans="1:5" ht="12" customHeight="1">
      <c r="A117" s="14" t="s">
        <v>356</v>
      </c>
      <c r="B117" s="67" t="s">
        <v>280</v>
      </c>
      <c r="C117" s="188">
        <v>7901000</v>
      </c>
      <c r="D117" s="188">
        <v>7951000</v>
      </c>
      <c r="E117" s="124">
        <v>2124800</v>
      </c>
    </row>
    <row r="118" spans="1:5" ht="12" customHeight="1">
      <c r="A118" s="12" t="s">
        <v>360</v>
      </c>
      <c r="B118" s="9" t="s">
        <v>39</v>
      </c>
      <c r="C118" s="186"/>
      <c r="D118" s="186"/>
      <c r="E118" s="122"/>
    </row>
    <row r="119" spans="1:5" ht="12" customHeight="1">
      <c r="A119" s="12" t="s">
        <v>361</v>
      </c>
      <c r="B119" s="6" t="s">
        <v>363</v>
      </c>
      <c r="C119" s="186"/>
      <c r="D119" s="186"/>
      <c r="E119" s="122"/>
    </row>
    <row r="120" spans="1:5" ht="12" customHeight="1" thickBot="1">
      <c r="A120" s="16" t="s">
        <v>362</v>
      </c>
      <c r="B120" s="252" t="s">
        <v>364</v>
      </c>
      <c r="C120" s="264"/>
      <c r="D120" s="264"/>
      <c r="E120" s="258"/>
    </row>
    <row r="121" spans="1:5" ht="12" customHeight="1" thickBot="1">
      <c r="A121" s="250" t="s">
        <v>10</v>
      </c>
      <c r="B121" s="251" t="s">
        <v>281</v>
      </c>
      <c r="C121" s="265">
        <f>+C122+C124+C126</f>
        <v>582725000</v>
      </c>
      <c r="D121" s="185">
        <f>+D122+D124+D126</f>
        <v>1781620211</v>
      </c>
      <c r="E121" s="259">
        <f>+E122+E124+E126</f>
        <v>939518863</v>
      </c>
    </row>
    <row r="122" spans="1:5" ht="12" customHeight="1">
      <c r="A122" s="13" t="s">
        <v>73</v>
      </c>
      <c r="B122" s="6" t="s">
        <v>157</v>
      </c>
      <c r="C122" s="187">
        <v>562125000</v>
      </c>
      <c r="D122" s="274">
        <v>1331367150</v>
      </c>
      <c r="E122" s="123">
        <v>786565032</v>
      </c>
    </row>
    <row r="123" spans="1:5" ht="12" customHeight="1">
      <c r="A123" s="13" t="s">
        <v>74</v>
      </c>
      <c r="B123" s="10" t="s">
        <v>285</v>
      </c>
      <c r="C123" s="187">
        <v>482471000</v>
      </c>
      <c r="D123" s="274"/>
      <c r="E123" s="123"/>
    </row>
    <row r="124" spans="1:5" ht="12" customHeight="1">
      <c r="A124" s="13" t="s">
        <v>75</v>
      </c>
      <c r="B124" s="10" t="s">
        <v>132</v>
      </c>
      <c r="C124" s="186">
        <v>20000000</v>
      </c>
      <c r="D124" s="275">
        <v>449653061</v>
      </c>
      <c r="E124" s="122">
        <v>152953831</v>
      </c>
    </row>
    <row r="125" spans="1:5" ht="12" customHeight="1">
      <c r="A125" s="13" t="s">
        <v>76</v>
      </c>
      <c r="B125" s="10" t="s">
        <v>286</v>
      </c>
      <c r="C125" s="186"/>
      <c r="D125" s="275"/>
      <c r="E125" s="122"/>
    </row>
    <row r="126" spans="1:5" ht="12" customHeight="1">
      <c r="A126" s="13" t="s">
        <v>77</v>
      </c>
      <c r="B126" s="130" t="s">
        <v>159</v>
      </c>
      <c r="C126" s="186">
        <v>600000</v>
      </c>
      <c r="D126" s="275">
        <v>600000</v>
      </c>
      <c r="E126" s="122"/>
    </row>
    <row r="127" spans="1:5" ht="12" customHeight="1">
      <c r="A127" s="13" t="s">
        <v>84</v>
      </c>
      <c r="B127" s="129" t="s">
        <v>347</v>
      </c>
      <c r="C127" s="186"/>
      <c r="D127" s="275"/>
      <c r="E127" s="122"/>
    </row>
    <row r="128" spans="1:5" ht="12" customHeight="1">
      <c r="A128" s="13" t="s">
        <v>86</v>
      </c>
      <c r="B128" s="194" t="s">
        <v>291</v>
      </c>
      <c r="C128" s="186"/>
      <c r="D128" s="275"/>
      <c r="E128" s="122"/>
    </row>
    <row r="129" spans="1:5">
      <c r="A129" s="13" t="s">
        <v>133</v>
      </c>
      <c r="B129" s="66" t="s">
        <v>274</v>
      </c>
      <c r="C129" s="186"/>
      <c r="D129" s="275"/>
      <c r="E129" s="122"/>
    </row>
    <row r="130" spans="1:5" ht="12" customHeight="1">
      <c r="A130" s="13" t="s">
        <v>134</v>
      </c>
      <c r="B130" s="66" t="s">
        <v>290</v>
      </c>
      <c r="C130" s="186"/>
      <c r="D130" s="275"/>
      <c r="E130" s="122"/>
    </row>
    <row r="131" spans="1:5" ht="12" customHeight="1">
      <c r="A131" s="13" t="s">
        <v>135</v>
      </c>
      <c r="B131" s="66" t="s">
        <v>289</v>
      </c>
      <c r="C131" s="186"/>
      <c r="D131" s="275"/>
      <c r="E131" s="122"/>
    </row>
    <row r="132" spans="1:5" ht="12" customHeight="1">
      <c r="A132" s="13" t="s">
        <v>282</v>
      </c>
      <c r="B132" s="66" t="s">
        <v>277</v>
      </c>
      <c r="C132" s="186"/>
      <c r="D132" s="275"/>
      <c r="E132" s="122"/>
    </row>
    <row r="133" spans="1:5" ht="12" customHeight="1">
      <c r="A133" s="13" t="s">
        <v>283</v>
      </c>
      <c r="B133" s="66" t="s">
        <v>288</v>
      </c>
      <c r="C133" s="186"/>
      <c r="D133" s="275"/>
      <c r="E133" s="122"/>
    </row>
    <row r="134" spans="1:5" ht="16.5" thickBot="1">
      <c r="A134" s="11" t="s">
        <v>284</v>
      </c>
      <c r="B134" s="66" t="s">
        <v>287</v>
      </c>
      <c r="C134" s="188">
        <v>600000</v>
      </c>
      <c r="D134" s="276">
        <v>600000</v>
      </c>
      <c r="E134" s="124"/>
    </row>
    <row r="135" spans="1:5" ht="12" customHeight="1" thickBot="1">
      <c r="A135" s="18" t="s">
        <v>11</v>
      </c>
      <c r="B135" s="59" t="s">
        <v>365</v>
      </c>
      <c r="C135" s="185">
        <f>+C100+C121</f>
        <v>1131660073</v>
      </c>
      <c r="D135" s="273">
        <f>+D100+D121</f>
        <v>2742159054</v>
      </c>
      <c r="E135" s="121">
        <f>+E100+E121</f>
        <v>1511285066</v>
      </c>
    </row>
    <row r="136" spans="1:5" ht="12" customHeight="1" thickBot="1">
      <c r="A136" s="18" t="s">
        <v>12</v>
      </c>
      <c r="B136" s="59" t="s">
        <v>440</v>
      </c>
      <c r="C136" s="185">
        <f>+C137+C138+C139</f>
        <v>0</v>
      </c>
      <c r="D136" s="273">
        <f>+D137+D138+D139</f>
        <v>0</v>
      </c>
      <c r="E136" s="121">
        <f>+E137+E138+E139</f>
        <v>0</v>
      </c>
    </row>
    <row r="137" spans="1:5" ht="12" customHeight="1">
      <c r="A137" s="13" t="s">
        <v>190</v>
      </c>
      <c r="B137" s="10" t="s">
        <v>373</v>
      </c>
      <c r="C137" s="186"/>
      <c r="D137" s="275"/>
      <c r="E137" s="122"/>
    </row>
    <row r="138" spans="1:5" ht="12" customHeight="1">
      <c r="A138" s="13" t="s">
        <v>191</v>
      </c>
      <c r="B138" s="10" t="s">
        <v>374</v>
      </c>
      <c r="C138" s="186"/>
      <c r="D138" s="275"/>
      <c r="E138" s="122"/>
    </row>
    <row r="139" spans="1:5" ht="12" customHeight="1" thickBot="1">
      <c r="A139" s="11" t="s">
        <v>192</v>
      </c>
      <c r="B139" s="10" t="s">
        <v>375</v>
      </c>
      <c r="C139" s="186"/>
      <c r="D139" s="275"/>
      <c r="E139" s="122"/>
    </row>
    <row r="140" spans="1:5" ht="12" customHeight="1" thickBot="1">
      <c r="A140" s="18" t="s">
        <v>13</v>
      </c>
      <c r="B140" s="59" t="s">
        <v>367</v>
      </c>
      <c r="C140" s="185">
        <f>SUM(C141:C146)</f>
        <v>0</v>
      </c>
      <c r="D140" s="273">
        <f>SUM(D141:D146)</f>
        <v>0</v>
      </c>
      <c r="E140" s="121">
        <f>SUM(E141:E146)</f>
        <v>0</v>
      </c>
    </row>
    <row r="141" spans="1:5" ht="12" customHeight="1">
      <c r="A141" s="13" t="s">
        <v>60</v>
      </c>
      <c r="B141" s="7" t="s">
        <v>376</v>
      </c>
      <c r="C141" s="186"/>
      <c r="D141" s="275"/>
      <c r="E141" s="122"/>
    </row>
    <row r="142" spans="1:5" ht="12" customHeight="1">
      <c r="A142" s="13" t="s">
        <v>61</v>
      </c>
      <c r="B142" s="7" t="s">
        <v>368</v>
      </c>
      <c r="C142" s="186"/>
      <c r="D142" s="275"/>
      <c r="E142" s="122"/>
    </row>
    <row r="143" spans="1:5" ht="12" customHeight="1">
      <c r="A143" s="13" t="s">
        <v>62</v>
      </c>
      <c r="B143" s="7" t="s">
        <v>369</v>
      </c>
      <c r="C143" s="186"/>
      <c r="D143" s="275"/>
      <c r="E143" s="122"/>
    </row>
    <row r="144" spans="1:5" ht="12" customHeight="1">
      <c r="A144" s="13" t="s">
        <v>120</v>
      </c>
      <c r="B144" s="7" t="s">
        <v>370</v>
      </c>
      <c r="C144" s="186"/>
      <c r="D144" s="275"/>
      <c r="E144" s="122"/>
    </row>
    <row r="145" spans="1:9" ht="12" customHeight="1">
      <c r="A145" s="13" t="s">
        <v>121</v>
      </c>
      <c r="B145" s="7" t="s">
        <v>371</v>
      </c>
      <c r="C145" s="186"/>
      <c r="D145" s="275"/>
      <c r="E145" s="122"/>
    </row>
    <row r="146" spans="1:9" ht="12" customHeight="1" thickBot="1">
      <c r="A146" s="16" t="s">
        <v>122</v>
      </c>
      <c r="B146" s="400" t="s">
        <v>372</v>
      </c>
      <c r="C146" s="264"/>
      <c r="D146" s="340"/>
      <c r="E146" s="258"/>
    </row>
    <row r="147" spans="1:9" ht="12" customHeight="1" thickBot="1">
      <c r="A147" s="18" t="s">
        <v>14</v>
      </c>
      <c r="B147" s="59" t="s">
        <v>380</v>
      </c>
      <c r="C147" s="191">
        <f>+C148+C149+C150+C151</f>
        <v>4582927</v>
      </c>
      <c r="D147" s="277">
        <f>+D148+D149+D150+D151</f>
        <v>11470973</v>
      </c>
      <c r="E147" s="227">
        <f>+E148+E149+E150+E151</f>
        <v>11470973</v>
      </c>
    </row>
    <row r="148" spans="1:9" ht="12" customHeight="1">
      <c r="A148" s="13" t="s">
        <v>63</v>
      </c>
      <c r="B148" s="7" t="s">
        <v>292</v>
      </c>
      <c r="C148" s="186"/>
      <c r="D148" s="275"/>
      <c r="E148" s="122"/>
    </row>
    <row r="149" spans="1:9" ht="12" customHeight="1">
      <c r="A149" s="13" t="s">
        <v>64</v>
      </c>
      <c r="B149" s="7" t="s">
        <v>293</v>
      </c>
      <c r="C149" s="186">
        <v>4582927</v>
      </c>
      <c r="D149" s="275">
        <v>11470973</v>
      </c>
      <c r="E149" s="122">
        <v>11470973</v>
      </c>
    </row>
    <row r="150" spans="1:9" ht="12" customHeight="1">
      <c r="A150" s="13" t="s">
        <v>209</v>
      </c>
      <c r="B150" s="7" t="s">
        <v>381</v>
      </c>
      <c r="C150" s="186"/>
      <c r="D150" s="275"/>
      <c r="E150" s="122"/>
    </row>
    <row r="151" spans="1:9" ht="12" customHeight="1" thickBot="1">
      <c r="A151" s="11" t="s">
        <v>210</v>
      </c>
      <c r="B151" s="5" t="s">
        <v>311</v>
      </c>
      <c r="C151" s="186"/>
      <c r="D151" s="275"/>
      <c r="E151" s="122"/>
    </row>
    <row r="152" spans="1:9" ht="12" customHeight="1" thickBot="1">
      <c r="A152" s="18" t="s">
        <v>15</v>
      </c>
      <c r="B152" s="59" t="s">
        <v>382</v>
      </c>
      <c r="C152" s="266">
        <f>SUM(C153:C157)</f>
        <v>0</v>
      </c>
      <c r="D152" s="278">
        <f>SUM(D153:D157)</f>
        <v>0</v>
      </c>
      <c r="E152" s="260">
        <f>SUM(E153:E157)</f>
        <v>0</v>
      </c>
    </row>
    <row r="153" spans="1:9" ht="12" customHeight="1">
      <c r="A153" s="13" t="s">
        <v>65</v>
      </c>
      <c r="B153" s="7" t="s">
        <v>377</v>
      </c>
      <c r="C153" s="186"/>
      <c r="D153" s="275"/>
      <c r="E153" s="122"/>
    </row>
    <row r="154" spans="1:9" ht="12" customHeight="1">
      <c r="A154" s="13" t="s">
        <v>66</v>
      </c>
      <c r="B154" s="7" t="s">
        <v>384</v>
      </c>
      <c r="C154" s="186"/>
      <c r="D154" s="275"/>
      <c r="E154" s="122"/>
    </row>
    <row r="155" spans="1:9" ht="12" customHeight="1">
      <c r="A155" s="13" t="s">
        <v>221</v>
      </c>
      <c r="B155" s="7" t="s">
        <v>379</v>
      </c>
      <c r="C155" s="186"/>
      <c r="D155" s="275"/>
      <c r="E155" s="122"/>
    </row>
    <row r="156" spans="1:9" ht="12" customHeight="1">
      <c r="A156" s="13" t="s">
        <v>222</v>
      </c>
      <c r="B156" s="7" t="s">
        <v>385</v>
      </c>
      <c r="C156" s="186"/>
      <c r="D156" s="275"/>
      <c r="E156" s="122"/>
    </row>
    <row r="157" spans="1:9" ht="12" customHeight="1" thickBot="1">
      <c r="A157" s="13" t="s">
        <v>383</v>
      </c>
      <c r="B157" s="7" t="s">
        <v>386</v>
      </c>
      <c r="C157" s="186"/>
      <c r="D157" s="275"/>
      <c r="E157" s="122"/>
    </row>
    <row r="158" spans="1:9" ht="12" customHeight="1" thickBot="1">
      <c r="A158" s="18" t="s">
        <v>16</v>
      </c>
      <c r="B158" s="59" t="s">
        <v>387</v>
      </c>
      <c r="C158" s="267"/>
      <c r="D158" s="279"/>
      <c r="E158" s="261"/>
    </row>
    <row r="159" spans="1:9" ht="12" customHeight="1" thickBot="1">
      <c r="A159" s="18" t="s">
        <v>17</v>
      </c>
      <c r="B159" s="59" t="s">
        <v>388</v>
      </c>
      <c r="C159" s="267"/>
      <c r="D159" s="279"/>
      <c r="E159" s="261"/>
    </row>
    <row r="160" spans="1:9" ht="15.2" customHeight="1" thickBot="1">
      <c r="A160" s="18" t="s">
        <v>18</v>
      </c>
      <c r="B160" s="59" t="s">
        <v>390</v>
      </c>
      <c r="C160" s="268">
        <f>+C136+C140+C147+C152+C158+C159</f>
        <v>4582927</v>
      </c>
      <c r="D160" s="280">
        <f>+D136+D140+D147+D152+D158+D159</f>
        <v>11470973</v>
      </c>
      <c r="E160" s="262">
        <f>+E136+E140+E147+E152+E158+E159</f>
        <v>11470973</v>
      </c>
      <c r="F160" s="208"/>
      <c r="G160" s="209"/>
      <c r="H160" s="209"/>
      <c r="I160" s="209"/>
    </row>
    <row r="161" spans="1:5" s="197" customFormat="1" ht="12.95" customHeight="1" thickBot="1">
      <c r="A161" s="131" t="s">
        <v>19</v>
      </c>
      <c r="B161" s="172" t="s">
        <v>389</v>
      </c>
      <c r="C161" s="268">
        <f>+C135+C160</f>
        <v>1136243000</v>
      </c>
      <c r="D161" s="280">
        <f>+D135+D160</f>
        <v>2753630027</v>
      </c>
      <c r="E161" s="262">
        <f>+E135+E160</f>
        <v>1522756039</v>
      </c>
    </row>
    <row r="162" spans="1:5">
      <c r="C162" s="463">
        <f>C93-C161</f>
        <v>0</v>
      </c>
      <c r="D162" s="463">
        <f>D93-D161</f>
        <v>0</v>
      </c>
    </row>
    <row r="163" spans="1:5">
      <c r="A163" s="490" t="s">
        <v>294</v>
      </c>
      <c r="B163" s="490"/>
      <c r="C163" s="490"/>
      <c r="D163" s="490"/>
      <c r="E163" s="490"/>
    </row>
    <row r="164" spans="1:5" ht="15.2" customHeight="1" thickBot="1">
      <c r="A164" s="482" t="s">
        <v>108</v>
      </c>
      <c r="B164" s="482"/>
      <c r="C164" s="133"/>
      <c r="E164" s="133" t="str">
        <f>E96</f>
        <v xml:space="preserve"> Forintban!</v>
      </c>
    </row>
    <row r="165" spans="1:5" ht="25.5" customHeight="1" thickBot="1">
      <c r="A165" s="18">
        <v>1</v>
      </c>
      <c r="B165" s="23" t="s">
        <v>391</v>
      </c>
      <c r="C165" s="272">
        <f>+C68-C135</f>
        <v>-743305767</v>
      </c>
      <c r="D165" s="185">
        <f>+D68-D135</f>
        <v>-1302315657</v>
      </c>
      <c r="E165" s="121">
        <f>+E68-E135</f>
        <v>-258957118</v>
      </c>
    </row>
    <row r="166" spans="1:5" ht="32.450000000000003" customHeight="1" thickBot="1">
      <c r="A166" s="18" t="s">
        <v>10</v>
      </c>
      <c r="B166" s="23" t="s">
        <v>397</v>
      </c>
      <c r="C166" s="185">
        <f>+C92-C160</f>
        <v>743305767</v>
      </c>
      <c r="D166" s="185">
        <f>+D92-D160</f>
        <v>1302315657</v>
      </c>
      <c r="E166" s="121">
        <f>+E92-E160</f>
        <v>1302315657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A7:B7"/>
    <mergeCell ref="B1:E1"/>
    <mergeCell ref="A2:E2"/>
    <mergeCell ref="A3:E3"/>
    <mergeCell ref="A4:E4"/>
    <mergeCell ref="A6:E6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topLeftCell="A43" zoomScale="120" zoomScaleNormal="120" workbookViewId="0">
      <selection activeCell="J73" sqref="J73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34" t="str">
        <f>CONCATENATE("6.10. melléklet ",IB_ALAPADATOK!A7," ",IB_ALAPADATOK!B7," ",IB_ALAPADATOK!C7," ",IB_ALAPADATOK!D7)</f>
        <v xml:space="preserve">6.10. melléklet a 7/2019.(X.09.)  önkormányzati rendelethez </v>
      </c>
      <c r="C1" s="535"/>
      <c r="D1" s="535"/>
      <c r="E1" s="535"/>
    </row>
    <row r="2" spans="1:5" s="233" customFormat="1" ht="25.5" customHeight="1" thickBot="1">
      <c r="A2" s="409" t="s">
        <v>479</v>
      </c>
      <c r="B2" s="536" t="str">
        <f>CONCATENATE(IB_ALAPADATOK!B27)</f>
        <v>8 kvi név</v>
      </c>
      <c r="C2" s="537"/>
      <c r="D2" s="538"/>
      <c r="E2" s="410" t="s">
        <v>551</v>
      </c>
    </row>
    <row r="3" spans="1:5" s="233" customFormat="1" ht="24.75" thickBot="1">
      <c r="A3" s="409" t="s">
        <v>141</v>
      </c>
      <c r="B3" s="536" t="s">
        <v>319</v>
      </c>
      <c r="C3" s="537"/>
      <c r="D3" s="538"/>
      <c r="E3" s="410" t="s">
        <v>42</v>
      </c>
    </row>
    <row r="4" spans="1:5" s="234" customFormat="1" ht="15.95" customHeight="1" thickBot="1">
      <c r="A4" s="411"/>
      <c r="B4" s="411"/>
      <c r="C4" s="412"/>
      <c r="D4" s="413"/>
      <c r="E4" s="412" t="str">
        <f>'9.2.3.sz.mell'!E4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CONCATENATE("6.10.1. melléklet ",IB_ALAPADATOK!A7," ",IB_ALAPADATOK!B7," ",IB_ALAPADATOK!C7," ",IB_ALAPADATOK!D7)</f>
        <v xml:space="preserve">6.10.1.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CONCATENATE(IB_6.10.sz.mell!B2:D2)</f>
        <v>8 kvi név</v>
      </c>
      <c r="C2" s="537"/>
      <c r="D2" s="538"/>
      <c r="E2" s="410" t="s">
        <v>551</v>
      </c>
    </row>
    <row r="3" spans="1:5" s="233" customFormat="1" ht="24.75" thickBot="1">
      <c r="A3" s="409" t="s">
        <v>141</v>
      </c>
      <c r="B3" s="536" t="s">
        <v>338</v>
      </c>
      <c r="C3" s="537"/>
      <c r="D3" s="538"/>
      <c r="E3" s="410" t="s">
        <v>46</v>
      </c>
    </row>
    <row r="4" spans="1:5" s="234" customFormat="1" ht="15.95" customHeight="1" thickBot="1">
      <c r="A4" s="411"/>
      <c r="B4" s="411"/>
      <c r="C4" s="412"/>
      <c r="D4" s="413"/>
      <c r="E4" s="412" t="str">
        <f>IB_6.10.sz.mell!E4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topLeftCell="B1"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CONCATENATE("6.10.2. melléklet ",IB_ALAPADATOK!A7," ",IB_ALAPADATOK!B7," ",IB_ALAPADATOK!C7," ",IB_ALAPADATOK!D7)</f>
        <v xml:space="preserve">6.10.2.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CONCATENATE(IB_6.10.1.sz.mell!B2:D2)</f>
        <v>8 kvi név</v>
      </c>
      <c r="C2" s="537"/>
      <c r="D2" s="538"/>
      <c r="E2" s="410" t="s">
        <v>551</v>
      </c>
    </row>
    <row r="3" spans="1:5" s="233" customFormat="1" ht="24.75" thickBot="1">
      <c r="A3" s="409" t="s">
        <v>141</v>
      </c>
      <c r="B3" s="536" t="s">
        <v>339</v>
      </c>
      <c r="C3" s="537"/>
      <c r="D3" s="538"/>
      <c r="E3" s="410" t="s">
        <v>47</v>
      </c>
    </row>
    <row r="4" spans="1:5" s="234" customFormat="1" ht="15.95" customHeight="1" thickBot="1">
      <c r="A4" s="411"/>
      <c r="B4" s="411"/>
      <c r="C4" s="412"/>
      <c r="D4" s="413"/>
      <c r="E4" s="412" t="str">
        <f>IB_6.10.1.sz.mell!E4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CONCATENATE("6.10.3. melléklet ",IB_ALAPADATOK!A7," ",IB_ALAPADATOK!B7," ",IB_ALAPADATOK!C7," ",IB_ALAPADATOK!D7)</f>
        <v xml:space="preserve">6.10.3.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CONCATENATE(IB_6.10.2.sz.mell!B2:D2)</f>
        <v>8 kvi név</v>
      </c>
      <c r="C2" s="537"/>
      <c r="D2" s="538"/>
      <c r="E2" s="410" t="s">
        <v>551</v>
      </c>
    </row>
    <row r="3" spans="1:5" s="233" customFormat="1" ht="24.75" thickBot="1">
      <c r="A3" s="409" t="s">
        <v>141</v>
      </c>
      <c r="B3" s="536" t="s">
        <v>434</v>
      </c>
      <c r="C3" s="537"/>
      <c r="D3" s="538"/>
      <c r="E3" s="410" t="s">
        <v>348</v>
      </c>
    </row>
    <row r="4" spans="1:5" s="234" customFormat="1" ht="15.95" customHeight="1" thickBot="1">
      <c r="A4" s="411"/>
      <c r="B4" s="411"/>
      <c r="C4" s="412"/>
      <c r="D4" s="413"/>
      <c r="E4" s="412" t="str">
        <f>IB_6.10.2.sz.mell!E4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34" t="str">
        <f>CONCATENATE("6.11. melléklet ",IB_ALAPADATOK!A7," ",IB_ALAPADATOK!B7," ",IB_ALAPADATOK!C7," ",IB_ALAPADATOK!D7)</f>
        <v xml:space="preserve">6.11. melléklet a 7/2019.(X.09.)  önkormányzati rendelethez </v>
      </c>
      <c r="C1" s="535"/>
      <c r="D1" s="535"/>
      <c r="E1" s="535"/>
    </row>
    <row r="2" spans="1:5" s="233" customFormat="1" ht="25.5" customHeight="1" thickBot="1">
      <c r="A2" s="409" t="s">
        <v>479</v>
      </c>
      <c r="B2" s="536" t="str">
        <f>CONCATENATE(IB_ALAPADATOK!B29)</f>
        <v>9 kvi név</v>
      </c>
      <c r="C2" s="537"/>
      <c r="D2" s="538"/>
      <c r="E2" s="410" t="s">
        <v>552</v>
      </c>
    </row>
    <row r="3" spans="1:5" s="233" customFormat="1" ht="24.75" thickBot="1">
      <c r="A3" s="409" t="s">
        <v>141</v>
      </c>
      <c r="B3" s="536" t="s">
        <v>319</v>
      </c>
      <c r="C3" s="537"/>
      <c r="D3" s="538"/>
      <c r="E3" s="410" t="s">
        <v>42</v>
      </c>
    </row>
    <row r="4" spans="1:5" s="234" customFormat="1" ht="15.95" customHeight="1" thickBot="1">
      <c r="A4" s="411"/>
      <c r="B4" s="411"/>
      <c r="C4" s="412"/>
      <c r="D4" s="413"/>
      <c r="E4" s="412" t="str">
        <f>'9.2.3.sz.mell'!E4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I25" sqref="I25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CONCATENATE("6.11.1. melléklet ",IB_ALAPADATOK!A7," ",IB_ALAPADATOK!B7," ",IB_ALAPADATOK!C7," ",IB_ALAPADATOK!D7)</f>
        <v xml:space="preserve">6.11.1.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CONCATENATE(IB_6.11.sz.mell!B2:D2)</f>
        <v>9 kvi név</v>
      </c>
      <c r="C2" s="537"/>
      <c r="D2" s="538"/>
      <c r="E2" s="410" t="s">
        <v>552</v>
      </c>
    </row>
    <row r="3" spans="1:5" s="233" customFormat="1" ht="24.75" thickBot="1">
      <c r="A3" s="409" t="s">
        <v>141</v>
      </c>
      <c r="B3" s="536" t="s">
        <v>338</v>
      </c>
      <c r="C3" s="537"/>
      <c r="D3" s="538"/>
      <c r="E3" s="410" t="s">
        <v>46</v>
      </c>
    </row>
    <row r="4" spans="1:5" s="234" customFormat="1" ht="15.95" customHeight="1" thickBot="1">
      <c r="A4" s="411"/>
      <c r="B4" s="411"/>
      <c r="C4" s="412"/>
      <c r="D4" s="413"/>
      <c r="E4" s="412" t="str">
        <f>IB_6.11.sz.mell!E4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CONCATENATE("6.11.2. melléklet ",IB_ALAPADATOK!A7," ",IB_ALAPADATOK!B7," ",IB_ALAPADATOK!C7," ",IB_ALAPADATOK!D7)</f>
        <v xml:space="preserve">6.11.2.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CONCATENATE(IB_6.11.1.sz.mell!B2:D2)</f>
        <v>9 kvi név</v>
      </c>
      <c r="C2" s="537"/>
      <c r="D2" s="538"/>
      <c r="E2" s="410" t="s">
        <v>552</v>
      </c>
    </row>
    <row r="3" spans="1:5" s="233" customFormat="1" ht="24.75" thickBot="1">
      <c r="A3" s="409" t="s">
        <v>141</v>
      </c>
      <c r="B3" s="536" t="s">
        <v>339</v>
      </c>
      <c r="C3" s="537"/>
      <c r="D3" s="538"/>
      <c r="E3" s="410" t="s">
        <v>47</v>
      </c>
    </row>
    <row r="4" spans="1:5" s="234" customFormat="1" ht="15.95" customHeight="1" thickBot="1">
      <c r="A4" s="411"/>
      <c r="B4" s="411"/>
      <c r="C4" s="412"/>
      <c r="D4" s="413"/>
      <c r="E4" s="412" t="str">
        <f>IB_6.11.1.sz.mell!E4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CONCATENATE("6.11.3. melléklet ",IB_ALAPADATOK!A7," ",IB_ALAPADATOK!B7," ",IB_ALAPADATOK!C7," ",IB_ALAPADATOK!D7)</f>
        <v xml:space="preserve">6.11.3.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CONCATENATE(IB_6.11.2.sz.mell!B2:D2)</f>
        <v>9 kvi név</v>
      </c>
      <c r="C2" s="537"/>
      <c r="D2" s="538"/>
      <c r="E2" s="410" t="s">
        <v>552</v>
      </c>
    </row>
    <row r="3" spans="1:5" s="233" customFormat="1" ht="24.75" thickBot="1">
      <c r="A3" s="409" t="s">
        <v>141</v>
      </c>
      <c r="B3" s="536" t="s">
        <v>434</v>
      </c>
      <c r="C3" s="537"/>
      <c r="D3" s="538"/>
      <c r="E3" s="410" t="s">
        <v>348</v>
      </c>
    </row>
    <row r="4" spans="1:5" s="234" customFormat="1" ht="15.95" customHeight="1" thickBot="1">
      <c r="A4" s="411"/>
      <c r="B4" s="411"/>
      <c r="C4" s="412"/>
      <c r="D4" s="413"/>
      <c r="E4" s="412" t="str">
        <f>IB_6.11.2.sz.mell!E4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34" t="str">
        <f>CONCATENATE("6.12. melléklet ",IB_ALAPADATOK!A7," ",IB_ALAPADATOK!B7," ",IB_ALAPADATOK!C7," ",IB_ALAPADATOK!D7)</f>
        <v xml:space="preserve">6.12. melléklet a 7/2019.(X.09.)  önkormányzati rendelethez </v>
      </c>
      <c r="C1" s="535"/>
      <c r="D1" s="535"/>
      <c r="E1" s="535"/>
    </row>
    <row r="2" spans="1:5" s="233" customFormat="1" ht="25.5" customHeight="1" thickBot="1">
      <c r="A2" s="409" t="s">
        <v>479</v>
      </c>
      <c r="B2" s="536" t="str">
        <f>CONCATENATE(IB_ALAPADATOK!B31)</f>
        <v>10 kvi név</v>
      </c>
      <c r="C2" s="537"/>
      <c r="D2" s="538"/>
      <c r="E2" s="410" t="s">
        <v>553</v>
      </c>
    </row>
    <row r="3" spans="1:5" s="233" customFormat="1" ht="24.75" thickBot="1">
      <c r="A3" s="409" t="s">
        <v>141</v>
      </c>
      <c r="B3" s="536" t="s">
        <v>319</v>
      </c>
      <c r="C3" s="537"/>
      <c r="D3" s="538"/>
      <c r="E3" s="410" t="s">
        <v>42</v>
      </c>
    </row>
    <row r="4" spans="1:5" s="234" customFormat="1" ht="15.95" customHeight="1" thickBot="1">
      <c r="A4" s="411"/>
      <c r="B4" s="411"/>
      <c r="C4" s="412"/>
      <c r="D4" s="413"/>
      <c r="E4" s="412" t="str">
        <f>'9.2.3.sz.mell'!E4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CONCATENATE("6.12.1. melléklet ",IB_ALAPADATOK!A7," ",IB_ALAPADATOK!B7," ",IB_ALAPADATOK!C7," ",IB_ALAPADATOK!D7)</f>
        <v xml:space="preserve">6.12.1.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CONCATENATE(IB_6.12.sz.mell!B2:D2)</f>
        <v>10 kvi név</v>
      </c>
      <c r="C2" s="537"/>
      <c r="D2" s="538"/>
      <c r="E2" s="410" t="s">
        <v>553</v>
      </c>
    </row>
    <row r="3" spans="1:5" s="233" customFormat="1" ht="24.75" thickBot="1">
      <c r="A3" s="409" t="s">
        <v>141</v>
      </c>
      <c r="B3" s="536" t="s">
        <v>338</v>
      </c>
      <c r="C3" s="537"/>
      <c r="D3" s="538"/>
      <c r="E3" s="410" t="s">
        <v>46</v>
      </c>
    </row>
    <row r="4" spans="1:5" s="234" customFormat="1" ht="15.95" customHeight="1" thickBot="1">
      <c r="A4" s="411"/>
      <c r="B4" s="411"/>
      <c r="C4" s="412"/>
      <c r="D4" s="413"/>
      <c r="E4" s="412" t="str">
        <f>IB_6.12.sz.mell!E4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I166"/>
  <sheetViews>
    <sheetView zoomScale="120" zoomScaleNormal="120" zoomScaleSheetLayoutView="100" workbookViewId="0">
      <selection activeCell="D19" sqref="D19"/>
    </sheetView>
  </sheetViews>
  <sheetFormatPr defaultRowHeight="15.75"/>
  <cols>
    <col min="1" max="1" width="9.5" style="173" customWidth="1"/>
    <col min="2" max="2" width="65.83203125" style="173" customWidth="1"/>
    <col min="3" max="3" width="17.83203125" style="174" customWidth="1"/>
    <col min="4" max="5" width="17.83203125" style="195" customWidth="1"/>
    <col min="6" max="16384" width="9.33203125" style="195"/>
  </cols>
  <sheetData>
    <row r="1" spans="1:5">
      <c r="A1" s="401"/>
      <c r="B1" s="477" t="str">
        <f>CONCATENATE("1.3. melléklet ",IB_ALAPADATOK!A7," ",IB_ALAPADATOK!B7," ",IB_ALAPADATOK!C7," ",IB_ALAPADATOK!D7)</f>
        <v xml:space="preserve">1.3. melléklet a 7/2019.(X.09.)  önkormányzati rendelethez </v>
      </c>
      <c r="C1" s="478"/>
      <c r="D1" s="478"/>
      <c r="E1" s="478"/>
    </row>
    <row r="2" spans="1:5">
      <c r="A2" s="479" t="str">
        <f>CONCATENATE(IB_ALAPADATOK!A3)</f>
        <v>BORSODNÁDASD VÁROS ÖNKORMÁNYZATA</v>
      </c>
      <c r="B2" s="480"/>
      <c r="C2" s="480"/>
      <c r="D2" s="480"/>
      <c r="E2" s="480"/>
    </row>
    <row r="3" spans="1:5">
      <c r="A3" s="479" t="str">
        <f>CONCATENATE("Tájékoztatató a ",IB_ALAPADATOK!B7," évi költségvetés  ",IB_ALAPADATOK!C8," alakulásáról")</f>
        <v>Tájékoztatató a 7/2019.(X.09.) évi költségvetés  III. negyedéves alakulásáról</v>
      </c>
      <c r="B3" s="479"/>
      <c r="C3" s="481"/>
      <c r="D3" s="479"/>
      <c r="E3" s="479"/>
    </row>
    <row r="4" spans="1:5">
      <c r="A4" s="479" t="s">
        <v>605</v>
      </c>
      <c r="B4" s="479"/>
      <c r="C4" s="481"/>
      <c r="D4" s="479"/>
      <c r="E4" s="479"/>
    </row>
    <row r="5" spans="1:5">
      <c r="A5" s="401"/>
      <c r="B5" s="401"/>
      <c r="C5" s="402"/>
      <c r="D5" s="403"/>
      <c r="E5" s="403"/>
    </row>
    <row r="6" spans="1:5" ht="15.95" customHeight="1">
      <c r="A6" s="491" t="s">
        <v>6</v>
      </c>
      <c r="B6" s="491"/>
      <c r="C6" s="491"/>
      <c r="D6" s="491"/>
      <c r="E6" s="491"/>
    </row>
    <row r="7" spans="1:5" ht="15.95" customHeight="1" thickBot="1">
      <c r="A7" s="493" t="s">
        <v>106</v>
      </c>
      <c r="B7" s="493"/>
      <c r="C7" s="404"/>
      <c r="D7" s="403"/>
      <c r="E7" s="404" t="str">
        <f>CONCATENATE(_1.2.sz.mell.!E7)</f>
        <v xml:space="preserve"> Forintban!</v>
      </c>
    </row>
    <row r="8" spans="1:5">
      <c r="A8" s="483" t="s">
        <v>55</v>
      </c>
      <c r="B8" s="485" t="s">
        <v>8</v>
      </c>
      <c r="C8" s="487" t="str">
        <f>+CONCATENATE(LEFT(IB_ÖSSZEFÜGGÉSEK!A6,4),". évi")</f>
        <v>2019. évi</v>
      </c>
      <c r="D8" s="488"/>
      <c r="E8" s="489"/>
    </row>
    <row r="9" spans="1:5" ht="24.75" thickBot="1">
      <c r="A9" s="484"/>
      <c r="B9" s="486"/>
      <c r="C9" s="270" t="s">
        <v>437</v>
      </c>
      <c r="D9" s="269" t="s">
        <v>438</v>
      </c>
      <c r="E9" s="390" t="str">
        <f>+CONCATENATE(LEFT(IB_ÖSSZEFÜGGÉSEK!A6,4),". VI. 30.",CHAR(10),"teljesítés")</f>
        <v>2019. VI. 30.
teljesítés</v>
      </c>
    </row>
    <row r="10" spans="1:5" s="196" customFormat="1" ht="12" customHeight="1" thickBot="1">
      <c r="A10" s="192" t="s">
        <v>404</v>
      </c>
      <c r="B10" s="193" t="s">
        <v>405</v>
      </c>
      <c r="C10" s="193" t="s">
        <v>406</v>
      </c>
      <c r="D10" s="193" t="s">
        <v>408</v>
      </c>
      <c r="E10" s="271" t="s">
        <v>407</v>
      </c>
    </row>
    <row r="11" spans="1:5" s="197" customFormat="1" ht="12" customHeight="1" thickBot="1">
      <c r="A11" s="18" t="s">
        <v>9</v>
      </c>
      <c r="B11" s="19" t="s">
        <v>175</v>
      </c>
      <c r="C11" s="185">
        <f>+C12+C13+C14+C15+C16+C17</f>
        <v>0</v>
      </c>
      <c r="D11" s="185">
        <f>+D12+D13+D14+D15+D16+D17</f>
        <v>0</v>
      </c>
      <c r="E11" s="121">
        <f>+E12+E13+E14+E15+E16+E17</f>
        <v>0</v>
      </c>
    </row>
    <row r="12" spans="1:5" s="197" customFormat="1" ht="12" customHeight="1">
      <c r="A12" s="13" t="s">
        <v>67</v>
      </c>
      <c r="B12" s="198" t="s">
        <v>176</v>
      </c>
      <c r="C12" s="187"/>
      <c r="D12" s="187"/>
      <c r="E12" s="123"/>
    </row>
    <row r="13" spans="1:5" s="197" customFormat="1" ht="12" customHeight="1">
      <c r="A13" s="12" t="s">
        <v>68</v>
      </c>
      <c r="B13" s="199" t="s">
        <v>177</v>
      </c>
      <c r="C13" s="186"/>
      <c r="D13" s="186"/>
      <c r="E13" s="122"/>
    </row>
    <row r="14" spans="1:5" s="197" customFormat="1" ht="12" customHeight="1">
      <c r="A14" s="12" t="s">
        <v>69</v>
      </c>
      <c r="B14" s="199" t="s">
        <v>178</v>
      </c>
      <c r="C14" s="186"/>
      <c r="D14" s="186"/>
      <c r="E14" s="122"/>
    </row>
    <row r="15" spans="1:5" s="197" customFormat="1" ht="12" customHeight="1">
      <c r="A15" s="12" t="s">
        <v>70</v>
      </c>
      <c r="B15" s="199" t="s">
        <v>179</v>
      </c>
      <c r="C15" s="186"/>
      <c r="D15" s="186"/>
      <c r="E15" s="122"/>
    </row>
    <row r="16" spans="1:5" s="197" customFormat="1" ht="12" customHeight="1">
      <c r="A16" s="12" t="s">
        <v>102</v>
      </c>
      <c r="B16" s="129" t="s">
        <v>349</v>
      </c>
      <c r="C16" s="186"/>
      <c r="D16" s="186"/>
      <c r="E16" s="122"/>
    </row>
    <row r="17" spans="1:5" s="197" customFormat="1" ht="12" customHeight="1" thickBot="1">
      <c r="A17" s="14" t="s">
        <v>71</v>
      </c>
      <c r="B17" s="130" t="s">
        <v>350</v>
      </c>
      <c r="C17" s="186"/>
      <c r="D17" s="186"/>
      <c r="E17" s="122"/>
    </row>
    <row r="18" spans="1:5" s="197" customFormat="1" ht="12" customHeight="1" thickBot="1">
      <c r="A18" s="18" t="s">
        <v>10</v>
      </c>
      <c r="B18" s="128" t="s">
        <v>180</v>
      </c>
      <c r="C18" s="185">
        <f>+C19+C20+C21+C22+C23</f>
        <v>0</v>
      </c>
      <c r="D18" s="185">
        <f>+D19+D20+D21+D22+D23</f>
        <v>0</v>
      </c>
      <c r="E18" s="121">
        <f>+E19+E20+E21+E22+E23</f>
        <v>0</v>
      </c>
    </row>
    <row r="19" spans="1:5" s="197" customFormat="1" ht="12" customHeight="1">
      <c r="A19" s="13" t="s">
        <v>73</v>
      </c>
      <c r="B19" s="198" t="s">
        <v>181</v>
      </c>
      <c r="C19" s="187"/>
      <c r="D19" s="187"/>
      <c r="E19" s="123"/>
    </row>
    <row r="20" spans="1:5" s="197" customFormat="1" ht="12" customHeight="1">
      <c r="A20" s="12" t="s">
        <v>74</v>
      </c>
      <c r="B20" s="199" t="s">
        <v>182</v>
      </c>
      <c r="C20" s="186"/>
      <c r="D20" s="186"/>
      <c r="E20" s="122"/>
    </row>
    <row r="21" spans="1:5" s="197" customFormat="1" ht="12" customHeight="1">
      <c r="A21" s="12" t="s">
        <v>75</v>
      </c>
      <c r="B21" s="199" t="s">
        <v>341</v>
      </c>
      <c r="C21" s="186"/>
      <c r="D21" s="186"/>
      <c r="E21" s="122"/>
    </row>
    <row r="22" spans="1:5" s="197" customFormat="1" ht="12" customHeight="1">
      <c r="A22" s="12" t="s">
        <v>76</v>
      </c>
      <c r="B22" s="199" t="s">
        <v>342</v>
      </c>
      <c r="C22" s="186"/>
      <c r="D22" s="186"/>
      <c r="E22" s="122"/>
    </row>
    <row r="23" spans="1:5" s="197" customFormat="1" ht="12" customHeight="1">
      <c r="A23" s="12" t="s">
        <v>77</v>
      </c>
      <c r="B23" s="199" t="s">
        <v>183</v>
      </c>
      <c r="C23" s="186"/>
      <c r="D23" s="186"/>
      <c r="E23" s="122"/>
    </row>
    <row r="24" spans="1:5" s="197" customFormat="1" ht="12" customHeight="1" thickBot="1">
      <c r="A24" s="14" t="s">
        <v>84</v>
      </c>
      <c r="B24" s="130" t="s">
        <v>184</v>
      </c>
      <c r="C24" s="188"/>
      <c r="D24" s="188"/>
      <c r="E24" s="124"/>
    </row>
    <row r="25" spans="1:5" s="197" customFormat="1" ht="12" customHeight="1" thickBot="1">
      <c r="A25" s="18" t="s">
        <v>11</v>
      </c>
      <c r="B25" s="19" t="s">
        <v>185</v>
      </c>
      <c r="C25" s="185">
        <f>+C26+C27+C28+C29+C30</f>
        <v>0</v>
      </c>
      <c r="D25" s="185">
        <f>+D26+D27+D28+D29+D30</f>
        <v>0</v>
      </c>
      <c r="E25" s="121">
        <f>+E26+E27+E28+E29+E30</f>
        <v>0</v>
      </c>
    </row>
    <row r="26" spans="1:5" s="197" customFormat="1" ht="12" customHeight="1">
      <c r="A26" s="13" t="s">
        <v>56</v>
      </c>
      <c r="B26" s="198" t="s">
        <v>186</v>
      </c>
      <c r="C26" s="187"/>
      <c r="D26" s="187"/>
      <c r="E26" s="123"/>
    </row>
    <row r="27" spans="1:5" s="197" customFormat="1" ht="12" customHeight="1">
      <c r="A27" s="12" t="s">
        <v>57</v>
      </c>
      <c r="B27" s="199" t="s">
        <v>187</v>
      </c>
      <c r="C27" s="186"/>
      <c r="D27" s="186"/>
      <c r="E27" s="122"/>
    </row>
    <row r="28" spans="1:5" s="197" customFormat="1" ht="12" customHeight="1">
      <c r="A28" s="12" t="s">
        <v>58</v>
      </c>
      <c r="B28" s="199" t="s">
        <v>343</v>
      </c>
      <c r="C28" s="186"/>
      <c r="D28" s="186"/>
      <c r="E28" s="122"/>
    </row>
    <row r="29" spans="1:5" s="197" customFormat="1" ht="12" customHeight="1">
      <c r="A29" s="12" t="s">
        <v>59</v>
      </c>
      <c r="B29" s="199" t="s">
        <v>344</v>
      </c>
      <c r="C29" s="186"/>
      <c r="D29" s="186"/>
      <c r="E29" s="122"/>
    </row>
    <row r="30" spans="1:5" s="197" customFormat="1" ht="12" customHeight="1">
      <c r="A30" s="12" t="s">
        <v>116</v>
      </c>
      <c r="B30" s="199" t="s">
        <v>188</v>
      </c>
      <c r="C30" s="186"/>
      <c r="D30" s="186"/>
      <c r="E30" s="122"/>
    </row>
    <row r="31" spans="1:5" s="197" customFormat="1" ht="12" customHeight="1" thickBot="1">
      <c r="A31" s="14" t="s">
        <v>117</v>
      </c>
      <c r="B31" s="200" t="s">
        <v>189</v>
      </c>
      <c r="C31" s="188"/>
      <c r="D31" s="188"/>
      <c r="E31" s="124"/>
    </row>
    <row r="32" spans="1:5" s="197" customFormat="1" ht="12" customHeight="1" thickBot="1">
      <c r="A32" s="18" t="s">
        <v>118</v>
      </c>
      <c r="B32" s="19" t="s">
        <v>502</v>
      </c>
      <c r="C32" s="191">
        <f>SUM(C33:C39)</f>
        <v>7901000</v>
      </c>
      <c r="D32" s="191">
        <f>SUM(D33:D39)</f>
        <v>7951000</v>
      </c>
      <c r="E32" s="227">
        <f>SUM(E33:E39)</f>
        <v>2124800</v>
      </c>
    </row>
    <row r="33" spans="1:5" s="197" customFormat="1" ht="12" customHeight="1">
      <c r="A33" s="13" t="s">
        <v>190</v>
      </c>
      <c r="B33" s="198" t="s">
        <v>503</v>
      </c>
      <c r="C33" s="187">
        <v>0</v>
      </c>
      <c r="D33" s="187">
        <v>0</v>
      </c>
      <c r="E33" s="123">
        <v>0</v>
      </c>
    </row>
    <row r="34" spans="1:5" s="197" customFormat="1" ht="12" customHeight="1">
      <c r="A34" s="12" t="s">
        <v>191</v>
      </c>
      <c r="B34" s="199" t="s">
        <v>504</v>
      </c>
      <c r="C34" s="186"/>
      <c r="D34" s="186"/>
      <c r="E34" s="122"/>
    </row>
    <row r="35" spans="1:5" s="197" customFormat="1" ht="12" customHeight="1">
      <c r="A35" s="12" t="s">
        <v>192</v>
      </c>
      <c r="B35" s="199" t="s">
        <v>505</v>
      </c>
      <c r="C35" s="186">
        <v>7901000</v>
      </c>
      <c r="D35" s="186">
        <v>7951000</v>
      </c>
      <c r="E35" s="122">
        <v>2124800</v>
      </c>
    </row>
    <row r="36" spans="1:5" s="197" customFormat="1" ht="12" customHeight="1">
      <c r="A36" s="12" t="s">
        <v>193</v>
      </c>
      <c r="B36" s="199" t="s">
        <v>506</v>
      </c>
      <c r="C36" s="186"/>
      <c r="D36" s="186"/>
      <c r="E36" s="122"/>
    </row>
    <row r="37" spans="1:5" s="197" customFormat="1" ht="12" customHeight="1">
      <c r="A37" s="12" t="s">
        <v>507</v>
      </c>
      <c r="B37" s="199" t="s">
        <v>194</v>
      </c>
      <c r="C37" s="186">
        <v>0</v>
      </c>
      <c r="D37" s="186">
        <v>0</v>
      </c>
      <c r="E37" s="122">
        <v>0</v>
      </c>
    </row>
    <row r="38" spans="1:5" s="197" customFormat="1" ht="12" customHeight="1">
      <c r="A38" s="12" t="s">
        <v>508</v>
      </c>
      <c r="B38" s="199" t="s">
        <v>596</v>
      </c>
      <c r="C38" s="186"/>
      <c r="D38" s="186"/>
      <c r="E38" s="122"/>
    </row>
    <row r="39" spans="1:5" s="197" customFormat="1" ht="12" customHeight="1" thickBot="1">
      <c r="A39" s="14" t="s">
        <v>509</v>
      </c>
      <c r="B39" s="349" t="s">
        <v>195</v>
      </c>
      <c r="C39" s="188"/>
      <c r="D39" s="188"/>
      <c r="E39" s="124"/>
    </row>
    <row r="40" spans="1:5" s="197" customFormat="1" ht="12" customHeight="1" thickBot="1">
      <c r="A40" s="18" t="s">
        <v>13</v>
      </c>
      <c r="B40" s="19" t="s">
        <v>351</v>
      </c>
      <c r="C40" s="185">
        <f>SUM(C41:C51)</f>
        <v>0</v>
      </c>
      <c r="D40" s="185">
        <f>SUM(D41:D51)</f>
        <v>0</v>
      </c>
      <c r="E40" s="121">
        <f>SUM(E41:E51)</f>
        <v>0</v>
      </c>
    </row>
    <row r="41" spans="1:5" s="197" customFormat="1" ht="12" customHeight="1">
      <c r="A41" s="13" t="s">
        <v>60</v>
      </c>
      <c r="B41" s="198" t="s">
        <v>198</v>
      </c>
      <c r="C41" s="187"/>
      <c r="D41" s="187"/>
      <c r="E41" s="123"/>
    </row>
    <row r="42" spans="1:5" s="197" customFormat="1" ht="12" customHeight="1">
      <c r="A42" s="12" t="s">
        <v>61</v>
      </c>
      <c r="B42" s="199" t="s">
        <v>199</v>
      </c>
      <c r="C42" s="186"/>
      <c r="D42" s="186"/>
      <c r="E42" s="122"/>
    </row>
    <row r="43" spans="1:5" s="197" customFormat="1" ht="12" customHeight="1">
      <c r="A43" s="12" t="s">
        <v>62</v>
      </c>
      <c r="B43" s="199" t="s">
        <v>200</v>
      </c>
      <c r="C43" s="186"/>
      <c r="D43" s="186"/>
      <c r="E43" s="122"/>
    </row>
    <row r="44" spans="1:5" s="197" customFormat="1" ht="12" customHeight="1">
      <c r="A44" s="12" t="s">
        <v>120</v>
      </c>
      <c r="B44" s="199" t="s">
        <v>201</v>
      </c>
      <c r="C44" s="186"/>
      <c r="D44" s="186"/>
      <c r="E44" s="122"/>
    </row>
    <row r="45" spans="1:5" s="197" customFormat="1" ht="12" customHeight="1">
      <c r="A45" s="12" t="s">
        <v>121</v>
      </c>
      <c r="B45" s="199" t="s">
        <v>202</v>
      </c>
      <c r="C45" s="186"/>
      <c r="D45" s="186"/>
      <c r="E45" s="122"/>
    </row>
    <row r="46" spans="1:5" s="197" customFormat="1" ht="12" customHeight="1">
      <c r="A46" s="12" t="s">
        <v>122</v>
      </c>
      <c r="B46" s="199" t="s">
        <v>203</v>
      </c>
      <c r="C46" s="186"/>
      <c r="D46" s="186"/>
      <c r="E46" s="122"/>
    </row>
    <row r="47" spans="1:5" s="197" customFormat="1" ht="12" customHeight="1">
      <c r="A47" s="12" t="s">
        <v>123</v>
      </c>
      <c r="B47" s="199" t="s">
        <v>204</v>
      </c>
      <c r="C47" s="186"/>
      <c r="D47" s="186"/>
      <c r="E47" s="122"/>
    </row>
    <row r="48" spans="1:5" s="197" customFormat="1" ht="12" customHeight="1">
      <c r="A48" s="12" t="s">
        <v>124</v>
      </c>
      <c r="B48" s="199" t="s">
        <v>510</v>
      </c>
      <c r="C48" s="186"/>
      <c r="D48" s="186"/>
      <c r="E48" s="122"/>
    </row>
    <row r="49" spans="1:5" s="197" customFormat="1" ht="12" customHeight="1">
      <c r="A49" s="12" t="s">
        <v>196</v>
      </c>
      <c r="B49" s="199" t="s">
        <v>206</v>
      </c>
      <c r="C49" s="189"/>
      <c r="D49" s="189"/>
      <c r="E49" s="125"/>
    </row>
    <row r="50" spans="1:5" s="197" customFormat="1" ht="12" customHeight="1">
      <c r="A50" s="14" t="s">
        <v>197</v>
      </c>
      <c r="B50" s="200" t="s">
        <v>353</v>
      </c>
      <c r="C50" s="190"/>
      <c r="D50" s="190"/>
      <c r="E50" s="126"/>
    </row>
    <row r="51" spans="1:5" s="197" customFormat="1" ht="12" customHeight="1" thickBot="1">
      <c r="A51" s="14" t="s">
        <v>352</v>
      </c>
      <c r="B51" s="130" t="s">
        <v>207</v>
      </c>
      <c r="C51" s="190"/>
      <c r="D51" s="190"/>
      <c r="E51" s="126"/>
    </row>
    <row r="52" spans="1:5" s="197" customFormat="1" ht="12" customHeight="1" thickBot="1">
      <c r="A52" s="18" t="s">
        <v>14</v>
      </c>
      <c r="B52" s="19" t="s">
        <v>208</v>
      </c>
      <c r="C52" s="185">
        <f>SUM(C53:C57)</f>
        <v>0</v>
      </c>
      <c r="D52" s="185">
        <f>SUM(D53:D57)</f>
        <v>0</v>
      </c>
      <c r="E52" s="121">
        <f>SUM(E53:E57)</f>
        <v>0</v>
      </c>
    </row>
    <row r="53" spans="1:5" s="197" customFormat="1" ht="12" customHeight="1">
      <c r="A53" s="13" t="s">
        <v>63</v>
      </c>
      <c r="B53" s="198" t="s">
        <v>212</v>
      </c>
      <c r="C53" s="238"/>
      <c r="D53" s="238"/>
      <c r="E53" s="127"/>
    </row>
    <row r="54" spans="1:5" s="197" customFormat="1" ht="12" customHeight="1">
      <c r="A54" s="12" t="s">
        <v>64</v>
      </c>
      <c r="B54" s="199" t="s">
        <v>213</v>
      </c>
      <c r="C54" s="189"/>
      <c r="D54" s="189"/>
      <c r="E54" s="125"/>
    </row>
    <row r="55" spans="1:5" s="197" customFormat="1" ht="12" customHeight="1">
      <c r="A55" s="12" t="s">
        <v>209</v>
      </c>
      <c r="B55" s="199" t="s">
        <v>214</v>
      </c>
      <c r="C55" s="189"/>
      <c r="D55" s="189"/>
      <c r="E55" s="125"/>
    </row>
    <row r="56" spans="1:5" s="197" customFormat="1" ht="12" customHeight="1">
      <c r="A56" s="12" t="s">
        <v>210</v>
      </c>
      <c r="B56" s="199" t="s">
        <v>215</v>
      </c>
      <c r="C56" s="189"/>
      <c r="D56" s="189"/>
      <c r="E56" s="125"/>
    </row>
    <row r="57" spans="1:5" s="197" customFormat="1" ht="12" customHeight="1" thickBot="1">
      <c r="A57" s="14" t="s">
        <v>211</v>
      </c>
      <c r="B57" s="130" t="s">
        <v>216</v>
      </c>
      <c r="C57" s="190"/>
      <c r="D57" s="190"/>
      <c r="E57" s="126"/>
    </row>
    <row r="58" spans="1:5" s="197" customFormat="1" ht="12" customHeight="1" thickBot="1">
      <c r="A58" s="18" t="s">
        <v>125</v>
      </c>
      <c r="B58" s="19" t="s">
        <v>217</v>
      </c>
      <c r="C58" s="185">
        <f>SUM(C59:C61)</f>
        <v>0</v>
      </c>
      <c r="D58" s="185">
        <f>SUM(D59:D61)</f>
        <v>0</v>
      </c>
      <c r="E58" s="121">
        <f>SUM(E59:E61)</f>
        <v>0</v>
      </c>
    </row>
    <row r="59" spans="1:5" s="197" customFormat="1" ht="12" customHeight="1">
      <c r="A59" s="13" t="s">
        <v>65</v>
      </c>
      <c r="B59" s="198" t="s">
        <v>218</v>
      </c>
      <c r="C59" s="187"/>
      <c r="D59" s="187"/>
      <c r="E59" s="123"/>
    </row>
    <row r="60" spans="1:5" s="197" customFormat="1" ht="12" customHeight="1">
      <c r="A60" s="12" t="s">
        <v>66</v>
      </c>
      <c r="B60" s="199" t="s">
        <v>345</v>
      </c>
      <c r="C60" s="186"/>
      <c r="D60" s="186"/>
      <c r="E60" s="122"/>
    </row>
    <row r="61" spans="1:5" s="197" customFormat="1" ht="12" customHeight="1">
      <c r="A61" s="12" t="s">
        <v>221</v>
      </c>
      <c r="B61" s="199" t="s">
        <v>219</v>
      </c>
      <c r="C61" s="186"/>
      <c r="D61" s="186"/>
      <c r="E61" s="122"/>
    </row>
    <row r="62" spans="1:5" s="197" customFormat="1" ht="12" customHeight="1" thickBot="1">
      <c r="A62" s="14" t="s">
        <v>222</v>
      </c>
      <c r="B62" s="130" t="s">
        <v>220</v>
      </c>
      <c r="C62" s="188"/>
      <c r="D62" s="188"/>
      <c r="E62" s="124"/>
    </row>
    <row r="63" spans="1:5" s="197" customFormat="1" ht="12" customHeight="1" thickBot="1">
      <c r="A63" s="18" t="s">
        <v>16</v>
      </c>
      <c r="B63" s="128" t="s">
        <v>223</v>
      </c>
      <c r="C63" s="185">
        <f>SUM(C64:C66)</f>
        <v>0</v>
      </c>
      <c r="D63" s="185">
        <f>SUM(D64:D66)</f>
        <v>0</v>
      </c>
      <c r="E63" s="121">
        <f>SUM(E64:E66)</f>
        <v>0</v>
      </c>
    </row>
    <row r="64" spans="1:5" s="197" customFormat="1" ht="12" customHeight="1">
      <c r="A64" s="13" t="s">
        <v>126</v>
      </c>
      <c r="B64" s="198" t="s">
        <v>225</v>
      </c>
      <c r="C64" s="189"/>
      <c r="D64" s="189"/>
      <c r="E64" s="125"/>
    </row>
    <row r="65" spans="1:5" s="197" customFormat="1" ht="12" customHeight="1">
      <c r="A65" s="12" t="s">
        <v>127</v>
      </c>
      <c r="B65" s="199" t="s">
        <v>346</v>
      </c>
      <c r="C65" s="189"/>
      <c r="D65" s="189"/>
      <c r="E65" s="125"/>
    </row>
    <row r="66" spans="1:5" s="197" customFormat="1" ht="12" customHeight="1">
      <c r="A66" s="12" t="s">
        <v>158</v>
      </c>
      <c r="B66" s="199" t="s">
        <v>226</v>
      </c>
      <c r="C66" s="189"/>
      <c r="D66" s="189"/>
      <c r="E66" s="125"/>
    </row>
    <row r="67" spans="1:5" s="197" customFormat="1" ht="12" customHeight="1" thickBot="1">
      <c r="A67" s="14" t="s">
        <v>224</v>
      </c>
      <c r="B67" s="130" t="s">
        <v>227</v>
      </c>
      <c r="C67" s="189"/>
      <c r="D67" s="189"/>
      <c r="E67" s="125"/>
    </row>
    <row r="68" spans="1:5" s="197" customFormat="1" ht="12" customHeight="1" thickBot="1">
      <c r="A68" s="253" t="s">
        <v>393</v>
      </c>
      <c r="B68" s="19" t="s">
        <v>228</v>
      </c>
      <c r="C68" s="191">
        <f>+C11+C18+C25+C32+C40+C52+C58+C63</f>
        <v>7901000</v>
      </c>
      <c r="D68" s="191">
        <f>+D11+D18+D25+D32+D40+D52+D58+D63</f>
        <v>7951000</v>
      </c>
      <c r="E68" s="227">
        <f>+E11+E18+E25+E32+E40+E52+E58+E63</f>
        <v>2124800</v>
      </c>
    </row>
    <row r="69" spans="1:5" s="197" customFormat="1" ht="12" customHeight="1" thickBot="1">
      <c r="A69" s="239" t="s">
        <v>229</v>
      </c>
      <c r="B69" s="128" t="s">
        <v>230</v>
      </c>
      <c r="C69" s="185">
        <f>SUM(C70:C72)</f>
        <v>0</v>
      </c>
      <c r="D69" s="185">
        <f>SUM(D70:D72)</f>
        <v>0</v>
      </c>
      <c r="E69" s="121">
        <f>SUM(E70:E72)</f>
        <v>0</v>
      </c>
    </row>
    <row r="70" spans="1:5" s="197" customFormat="1" ht="12" customHeight="1">
      <c r="A70" s="13" t="s">
        <v>258</v>
      </c>
      <c r="B70" s="198" t="s">
        <v>231</v>
      </c>
      <c r="C70" s="189"/>
      <c r="D70" s="189"/>
      <c r="E70" s="125"/>
    </row>
    <row r="71" spans="1:5" s="197" customFormat="1" ht="12" customHeight="1">
      <c r="A71" s="12" t="s">
        <v>267</v>
      </c>
      <c r="B71" s="199" t="s">
        <v>232</v>
      </c>
      <c r="C71" s="189"/>
      <c r="D71" s="189"/>
      <c r="E71" s="125"/>
    </row>
    <row r="72" spans="1:5" s="197" customFormat="1" ht="12" customHeight="1" thickBot="1">
      <c r="A72" s="14" t="s">
        <v>268</v>
      </c>
      <c r="B72" s="249" t="s">
        <v>378</v>
      </c>
      <c r="C72" s="189"/>
      <c r="D72" s="189"/>
      <c r="E72" s="125"/>
    </row>
    <row r="73" spans="1:5" s="197" customFormat="1" ht="12" customHeight="1" thickBot="1">
      <c r="A73" s="239" t="s">
        <v>234</v>
      </c>
      <c r="B73" s="128" t="s">
        <v>235</v>
      </c>
      <c r="C73" s="185">
        <f>SUM(C74:C77)</f>
        <v>0</v>
      </c>
      <c r="D73" s="185">
        <f>SUM(D74:D77)</f>
        <v>0</v>
      </c>
      <c r="E73" s="121">
        <f>SUM(E74:E77)</f>
        <v>0</v>
      </c>
    </row>
    <row r="74" spans="1:5" s="197" customFormat="1" ht="12" customHeight="1">
      <c r="A74" s="13" t="s">
        <v>103</v>
      </c>
      <c r="B74" s="388" t="s">
        <v>236</v>
      </c>
      <c r="C74" s="189"/>
      <c r="D74" s="189"/>
      <c r="E74" s="125"/>
    </row>
    <row r="75" spans="1:5" s="197" customFormat="1" ht="12" customHeight="1">
      <c r="A75" s="12" t="s">
        <v>104</v>
      </c>
      <c r="B75" s="388" t="s">
        <v>517</v>
      </c>
      <c r="C75" s="189"/>
      <c r="D75" s="189"/>
      <c r="E75" s="125"/>
    </row>
    <row r="76" spans="1:5" s="197" customFormat="1" ht="12" customHeight="1">
      <c r="A76" s="12" t="s">
        <v>259</v>
      </c>
      <c r="B76" s="388" t="s">
        <v>237</v>
      </c>
      <c r="C76" s="189"/>
      <c r="D76" s="189"/>
      <c r="E76" s="125"/>
    </row>
    <row r="77" spans="1:5" s="197" customFormat="1" ht="12" customHeight="1" thickBot="1">
      <c r="A77" s="14" t="s">
        <v>260</v>
      </c>
      <c r="B77" s="389" t="s">
        <v>518</v>
      </c>
      <c r="C77" s="189"/>
      <c r="D77" s="189"/>
      <c r="E77" s="125"/>
    </row>
    <row r="78" spans="1:5" s="197" customFormat="1" ht="12" customHeight="1" thickBot="1">
      <c r="A78" s="239" t="s">
        <v>238</v>
      </c>
      <c r="B78" s="128" t="s">
        <v>239</v>
      </c>
      <c r="C78" s="185">
        <f>SUM(C79:C80)</f>
        <v>0</v>
      </c>
      <c r="D78" s="185">
        <f>SUM(D79:D80)</f>
        <v>0</v>
      </c>
      <c r="E78" s="121">
        <f>SUM(E79:E80)</f>
        <v>0</v>
      </c>
    </row>
    <row r="79" spans="1:5" s="197" customFormat="1" ht="12" customHeight="1">
      <c r="A79" s="13" t="s">
        <v>261</v>
      </c>
      <c r="B79" s="198" t="s">
        <v>240</v>
      </c>
      <c r="C79" s="189"/>
      <c r="D79" s="189"/>
      <c r="E79" s="125"/>
    </row>
    <row r="80" spans="1:5" s="197" customFormat="1" ht="12" customHeight="1" thickBot="1">
      <c r="A80" s="14" t="s">
        <v>262</v>
      </c>
      <c r="B80" s="130" t="s">
        <v>241</v>
      </c>
      <c r="C80" s="189"/>
      <c r="D80" s="189"/>
      <c r="E80" s="125"/>
    </row>
    <row r="81" spans="1:5" s="197" customFormat="1" ht="12" customHeight="1" thickBot="1">
      <c r="A81" s="239" t="s">
        <v>242</v>
      </c>
      <c r="B81" s="128" t="s">
        <v>243</v>
      </c>
      <c r="C81" s="185">
        <f>SUM(C82:C84)</f>
        <v>0</v>
      </c>
      <c r="D81" s="185">
        <f>SUM(D82:D84)</f>
        <v>0</v>
      </c>
      <c r="E81" s="121">
        <f>SUM(E82:E84)</f>
        <v>0</v>
      </c>
    </row>
    <row r="82" spans="1:5" s="197" customFormat="1" ht="12" customHeight="1">
      <c r="A82" s="13" t="s">
        <v>263</v>
      </c>
      <c r="B82" s="198" t="s">
        <v>244</v>
      </c>
      <c r="C82" s="189"/>
      <c r="D82" s="189"/>
      <c r="E82" s="125"/>
    </row>
    <row r="83" spans="1:5" s="197" customFormat="1" ht="12" customHeight="1">
      <c r="A83" s="12" t="s">
        <v>264</v>
      </c>
      <c r="B83" s="199" t="s">
        <v>245</v>
      </c>
      <c r="C83" s="189"/>
      <c r="D83" s="189"/>
      <c r="E83" s="125"/>
    </row>
    <row r="84" spans="1:5" s="197" customFormat="1" ht="12" customHeight="1" thickBot="1">
      <c r="A84" s="14" t="s">
        <v>265</v>
      </c>
      <c r="B84" s="130" t="s">
        <v>519</v>
      </c>
      <c r="C84" s="189"/>
      <c r="D84" s="189"/>
      <c r="E84" s="125"/>
    </row>
    <row r="85" spans="1:5" s="197" customFormat="1" ht="12" customHeight="1" thickBot="1">
      <c r="A85" s="239" t="s">
        <v>246</v>
      </c>
      <c r="B85" s="128" t="s">
        <v>266</v>
      </c>
      <c r="C85" s="185">
        <f>SUM(C86:C89)</f>
        <v>0</v>
      </c>
      <c r="D85" s="185">
        <f>SUM(D86:D89)</f>
        <v>0</v>
      </c>
      <c r="E85" s="121">
        <f>SUM(E86:E89)</f>
        <v>0</v>
      </c>
    </row>
    <row r="86" spans="1:5" s="197" customFormat="1" ht="12" customHeight="1">
      <c r="A86" s="202" t="s">
        <v>247</v>
      </c>
      <c r="B86" s="198" t="s">
        <v>248</v>
      </c>
      <c r="C86" s="189"/>
      <c r="D86" s="189"/>
      <c r="E86" s="125"/>
    </row>
    <row r="87" spans="1:5" s="197" customFormat="1" ht="12" customHeight="1">
      <c r="A87" s="203" t="s">
        <v>249</v>
      </c>
      <c r="B87" s="199" t="s">
        <v>250</v>
      </c>
      <c r="C87" s="189"/>
      <c r="D87" s="189"/>
      <c r="E87" s="125"/>
    </row>
    <row r="88" spans="1:5" s="197" customFormat="1" ht="12" customHeight="1">
      <c r="A88" s="203" t="s">
        <v>251</v>
      </c>
      <c r="B88" s="199" t="s">
        <v>252</v>
      </c>
      <c r="C88" s="189"/>
      <c r="D88" s="189"/>
      <c r="E88" s="125"/>
    </row>
    <row r="89" spans="1:5" s="197" customFormat="1" ht="12" customHeight="1" thickBot="1">
      <c r="A89" s="204" t="s">
        <v>253</v>
      </c>
      <c r="B89" s="130" t="s">
        <v>254</v>
      </c>
      <c r="C89" s="189"/>
      <c r="D89" s="189"/>
      <c r="E89" s="125"/>
    </row>
    <row r="90" spans="1:5" s="197" customFormat="1" ht="12" customHeight="1" thickBot="1">
      <c r="A90" s="239" t="s">
        <v>255</v>
      </c>
      <c r="B90" s="128" t="s">
        <v>392</v>
      </c>
      <c r="C90" s="241"/>
      <c r="D90" s="241"/>
      <c r="E90" s="242"/>
    </row>
    <row r="91" spans="1:5" s="197" customFormat="1" ht="13.5" customHeight="1" thickBot="1">
      <c r="A91" s="239" t="s">
        <v>257</v>
      </c>
      <c r="B91" s="128" t="s">
        <v>256</v>
      </c>
      <c r="C91" s="241"/>
      <c r="D91" s="241"/>
      <c r="E91" s="242"/>
    </row>
    <row r="92" spans="1:5" s="197" customFormat="1" ht="15.75" customHeight="1" thickBot="1">
      <c r="A92" s="239" t="s">
        <v>269</v>
      </c>
      <c r="B92" s="205" t="s">
        <v>395</v>
      </c>
      <c r="C92" s="191">
        <f>+C69+C73+C78+C81+C85+C91+C90</f>
        <v>0</v>
      </c>
      <c r="D92" s="191">
        <f>+D69+D73+D78+D81+D85+D91+D90</f>
        <v>0</v>
      </c>
      <c r="E92" s="227">
        <f>+E69+E73+E78+E81+E85+E91+E90</f>
        <v>0</v>
      </c>
    </row>
    <row r="93" spans="1:5" s="197" customFormat="1" ht="25.5" customHeight="1" thickBot="1">
      <c r="A93" s="240" t="s">
        <v>394</v>
      </c>
      <c r="B93" s="206" t="s">
        <v>396</v>
      </c>
      <c r="C93" s="191">
        <f>+C68+C92</f>
        <v>7901000</v>
      </c>
      <c r="D93" s="191">
        <f>+D68+D92</f>
        <v>7951000</v>
      </c>
      <c r="E93" s="227">
        <f>+E68+E92</f>
        <v>2124800</v>
      </c>
    </row>
    <row r="94" spans="1:5" s="197" customFormat="1" ht="15.2" customHeight="1">
      <c r="A94" s="3"/>
      <c r="B94" s="4"/>
      <c r="C94" s="132"/>
    </row>
    <row r="95" spans="1:5" ht="16.5" customHeight="1">
      <c r="A95" s="492" t="s">
        <v>37</v>
      </c>
      <c r="B95" s="492"/>
      <c r="C95" s="492"/>
      <c r="D95" s="492"/>
      <c r="E95" s="492"/>
    </row>
    <row r="96" spans="1:5" s="207" customFormat="1" ht="16.5" customHeight="1" thickBot="1">
      <c r="A96" s="494" t="s">
        <v>107</v>
      </c>
      <c r="B96" s="494"/>
      <c r="C96" s="63"/>
      <c r="E96" s="63" t="str">
        <f>E7</f>
        <v xml:space="preserve"> Forintban!</v>
      </c>
    </row>
    <row r="97" spans="1:5">
      <c r="A97" s="483" t="s">
        <v>55</v>
      </c>
      <c r="B97" s="485" t="s">
        <v>439</v>
      </c>
      <c r="C97" s="487" t="str">
        <f>+CONCATENATE(LEFT(IB_ÖSSZEFÜGGÉSEK!A6,4),". évi")</f>
        <v>2019. évi</v>
      </c>
      <c r="D97" s="488"/>
      <c r="E97" s="489"/>
    </row>
    <row r="98" spans="1:5" ht="24.75" thickBot="1">
      <c r="A98" s="484"/>
      <c r="B98" s="486"/>
      <c r="C98" s="270" t="s">
        <v>437</v>
      </c>
      <c r="D98" s="269" t="s">
        <v>438</v>
      </c>
      <c r="E98" s="390" t="str">
        <f>+CONCATENATE(LEFT(IB_ÖSSZEFÜGGÉSEK!A6,4),". VI. 30.",CHAR(10),"teljesítés")</f>
        <v>2019. VI. 30.
teljesítés</v>
      </c>
    </row>
    <row r="99" spans="1:5" s="196" customFormat="1" ht="12" customHeight="1" thickBot="1">
      <c r="A99" s="25" t="s">
        <v>404</v>
      </c>
      <c r="B99" s="26" t="s">
        <v>405</v>
      </c>
      <c r="C99" s="26" t="s">
        <v>406</v>
      </c>
      <c r="D99" s="26" t="s">
        <v>408</v>
      </c>
      <c r="E99" s="281" t="s">
        <v>407</v>
      </c>
    </row>
    <row r="100" spans="1:5" ht="12" customHeight="1" thickBot="1">
      <c r="A100" s="20" t="s">
        <v>9</v>
      </c>
      <c r="B100" s="24" t="s">
        <v>354</v>
      </c>
      <c r="C100" s="184">
        <f>C101+C102+C103+C104+C105+C118</f>
        <v>7901000</v>
      </c>
      <c r="D100" s="184">
        <f>D101+D102+D103+D104+D105+D118</f>
        <v>7951000</v>
      </c>
      <c r="E100" s="256">
        <f>E101+E102+E103+E104+E105+E118</f>
        <v>2124800</v>
      </c>
    </row>
    <row r="101" spans="1:5" ht="12" customHeight="1">
      <c r="A101" s="15" t="s">
        <v>67</v>
      </c>
      <c r="B101" s="8" t="s">
        <v>38</v>
      </c>
      <c r="C101" s="263">
        <v>0</v>
      </c>
      <c r="D101" s="263">
        <v>0</v>
      </c>
      <c r="E101" s="257"/>
    </row>
    <row r="102" spans="1:5" ht="12" customHeight="1">
      <c r="A102" s="12" t="s">
        <v>68</v>
      </c>
      <c r="B102" s="6" t="s">
        <v>128</v>
      </c>
      <c r="C102" s="186">
        <v>0</v>
      </c>
      <c r="D102" s="186">
        <v>0</v>
      </c>
      <c r="E102" s="122">
        <v>0</v>
      </c>
    </row>
    <row r="103" spans="1:5" ht="12" customHeight="1">
      <c r="A103" s="12" t="s">
        <v>69</v>
      </c>
      <c r="B103" s="6" t="s">
        <v>95</v>
      </c>
      <c r="C103" s="188"/>
      <c r="D103" s="188"/>
      <c r="E103" s="124"/>
    </row>
    <row r="104" spans="1:5" ht="12" customHeight="1">
      <c r="A104" s="12" t="s">
        <v>70</v>
      </c>
      <c r="B104" s="9" t="s">
        <v>129</v>
      </c>
      <c r="C104" s="188"/>
      <c r="D104" s="188"/>
      <c r="E104" s="124"/>
    </row>
    <row r="105" spans="1:5" ht="12" customHeight="1">
      <c r="A105" s="12" t="s">
        <v>79</v>
      </c>
      <c r="B105" s="17" t="s">
        <v>130</v>
      </c>
      <c r="C105" s="188">
        <v>7901000</v>
      </c>
      <c r="D105" s="188">
        <v>7951000</v>
      </c>
      <c r="E105" s="124">
        <v>2124800</v>
      </c>
    </row>
    <row r="106" spans="1:5" ht="12" customHeight="1">
      <c r="A106" s="12" t="s">
        <v>71</v>
      </c>
      <c r="B106" s="6" t="s">
        <v>359</v>
      </c>
      <c r="C106" s="188"/>
      <c r="D106" s="188"/>
      <c r="E106" s="124"/>
    </row>
    <row r="107" spans="1:5" ht="12" customHeight="1">
      <c r="A107" s="12" t="s">
        <v>72</v>
      </c>
      <c r="B107" s="67" t="s">
        <v>358</v>
      </c>
      <c r="C107" s="188"/>
      <c r="D107" s="188"/>
      <c r="E107" s="124"/>
    </row>
    <row r="108" spans="1:5" ht="12" customHeight="1">
      <c r="A108" s="12" t="s">
        <v>80</v>
      </c>
      <c r="B108" s="67" t="s">
        <v>357</v>
      </c>
      <c r="C108" s="188"/>
      <c r="D108" s="188"/>
      <c r="E108" s="124"/>
    </row>
    <row r="109" spans="1:5" ht="12" customHeight="1">
      <c r="A109" s="12" t="s">
        <v>81</v>
      </c>
      <c r="B109" s="65" t="s">
        <v>272</v>
      </c>
      <c r="C109" s="188"/>
      <c r="D109" s="188"/>
      <c r="E109" s="124"/>
    </row>
    <row r="110" spans="1:5" ht="12" customHeight="1">
      <c r="A110" s="12" t="s">
        <v>82</v>
      </c>
      <c r="B110" s="66" t="s">
        <v>273</v>
      </c>
      <c r="C110" s="188"/>
      <c r="D110" s="188"/>
      <c r="E110" s="124"/>
    </row>
    <row r="111" spans="1:5" ht="12" customHeight="1">
      <c r="A111" s="12" t="s">
        <v>83</v>
      </c>
      <c r="B111" s="66" t="s">
        <v>274</v>
      </c>
      <c r="C111" s="188"/>
      <c r="D111" s="188"/>
      <c r="E111" s="124"/>
    </row>
    <row r="112" spans="1:5" ht="12" customHeight="1">
      <c r="A112" s="12" t="s">
        <v>85</v>
      </c>
      <c r="B112" s="65" t="s">
        <v>275</v>
      </c>
      <c r="C112" s="188"/>
      <c r="D112" s="188"/>
      <c r="E112" s="124"/>
    </row>
    <row r="113" spans="1:5" ht="12" customHeight="1">
      <c r="A113" s="12" t="s">
        <v>131</v>
      </c>
      <c r="B113" s="65" t="s">
        <v>276</v>
      </c>
      <c r="C113" s="188"/>
      <c r="D113" s="188"/>
      <c r="E113" s="124"/>
    </row>
    <row r="114" spans="1:5" ht="12" customHeight="1">
      <c r="A114" s="12" t="s">
        <v>270</v>
      </c>
      <c r="B114" s="66" t="s">
        <v>277</v>
      </c>
      <c r="C114" s="188"/>
      <c r="D114" s="188"/>
      <c r="E114" s="124"/>
    </row>
    <row r="115" spans="1:5" ht="12" customHeight="1">
      <c r="A115" s="11" t="s">
        <v>271</v>
      </c>
      <c r="B115" s="67" t="s">
        <v>278</v>
      </c>
      <c r="C115" s="188"/>
      <c r="D115" s="188"/>
      <c r="E115" s="124"/>
    </row>
    <row r="116" spans="1:5" ht="12" customHeight="1">
      <c r="A116" s="12" t="s">
        <v>355</v>
      </c>
      <c r="B116" s="67" t="s">
        <v>279</v>
      </c>
      <c r="C116" s="188"/>
      <c r="D116" s="188"/>
      <c r="E116" s="124"/>
    </row>
    <row r="117" spans="1:5" ht="12" customHeight="1">
      <c r="A117" s="14" t="s">
        <v>356</v>
      </c>
      <c r="B117" s="67" t="s">
        <v>280</v>
      </c>
      <c r="C117" s="188">
        <v>7901000</v>
      </c>
      <c r="D117" s="188">
        <v>7951000</v>
      </c>
      <c r="E117" s="124">
        <v>2124800</v>
      </c>
    </row>
    <row r="118" spans="1:5" ht="12" customHeight="1">
      <c r="A118" s="12" t="s">
        <v>360</v>
      </c>
      <c r="B118" s="9" t="s">
        <v>39</v>
      </c>
      <c r="C118" s="186"/>
      <c r="D118" s="186"/>
      <c r="E118" s="122"/>
    </row>
    <row r="119" spans="1:5" ht="12" customHeight="1">
      <c r="A119" s="12" t="s">
        <v>361</v>
      </c>
      <c r="B119" s="6" t="s">
        <v>363</v>
      </c>
      <c r="C119" s="186"/>
      <c r="D119" s="186"/>
      <c r="E119" s="122"/>
    </row>
    <row r="120" spans="1:5" ht="12" customHeight="1" thickBot="1">
      <c r="A120" s="16" t="s">
        <v>362</v>
      </c>
      <c r="B120" s="252" t="s">
        <v>364</v>
      </c>
      <c r="C120" s="264"/>
      <c r="D120" s="264"/>
      <c r="E120" s="258"/>
    </row>
    <row r="121" spans="1:5" ht="12" customHeight="1" thickBot="1">
      <c r="A121" s="250" t="s">
        <v>10</v>
      </c>
      <c r="B121" s="251" t="s">
        <v>281</v>
      </c>
      <c r="C121" s="265">
        <f>+C122+C124+C126</f>
        <v>0</v>
      </c>
      <c r="D121" s="185">
        <f>+D122+D124+D126</f>
        <v>0</v>
      </c>
      <c r="E121" s="259">
        <f>+E122+E124+E126</f>
        <v>0</v>
      </c>
    </row>
    <row r="122" spans="1:5" ht="12" customHeight="1">
      <c r="A122" s="13" t="s">
        <v>73</v>
      </c>
      <c r="B122" s="6" t="s">
        <v>157</v>
      </c>
      <c r="C122" s="187"/>
      <c r="D122" s="274"/>
      <c r="E122" s="123"/>
    </row>
    <row r="123" spans="1:5" ht="12" customHeight="1">
      <c r="A123" s="13" t="s">
        <v>74</v>
      </c>
      <c r="B123" s="10" t="s">
        <v>285</v>
      </c>
      <c r="C123" s="187"/>
      <c r="D123" s="274"/>
      <c r="E123" s="123"/>
    </row>
    <row r="124" spans="1:5" ht="12" customHeight="1">
      <c r="A124" s="13" t="s">
        <v>75</v>
      </c>
      <c r="B124" s="10" t="s">
        <v>132</v>
      </c>
      <c r="C124" s="186"/>
      <c r="D124" s="275"/>
      <c r="E124" s="122"/>
    </row>
    <row r="125" spans="1:5" ht="12" customHeight="1">
      <c r="A125" s="13" t="s">
        <v>76</v>
      </c>
      <c r="B125" s="10" t="s">
        <v>286</v>
      </c>
      <c r="C125" s="186"/>
      <c r="D125" s="275"/>
      <c r="E125" s="122"/>
    </row>
    <row r="126" spans="1:5" ht="12" customHeight="1">
      <c r="A126" s="13" t="s">
        <v>77</v>
      </c>
      <c r="B126" s="130" t="s">
        <v>159</v>
      </c>
      <c r="C126" s="186"/>
      <c r="D126" s="275"/>
      <c r="E126" s="122"/>
    </row>
    <row r="127" spans="1:5" ht="12" customHeight="1">
      <c r="A127" s="13" t="s">
        <v>84</v>
      </c>
      <c r="B127" s="129" t="s">
        <v>347</v>
      </c>
      <c r="C127" s="186"/>
      <c r="D127" s="275"/>
      <c r="E127" s="122"/>
    </row>
    <row r="128" spans="1:5" ht="12" customHeight="1">
      <c r="A128" s="13" t="s">
        <v>86</v>
      </c>
      <c r="B128" s="194" t="s">
        <v>291</v>
      </c>
      <c r="C128" s="186"/>
      <c r="D128" s="275"/>
      <c r="E128" s="122"/>
    </row>
    <row r="129" spans="1:5">
      <c r="A129" s="13" t="s">
        <v>133</v>
      </c>
      <c r="B129" s="66" t="s">
        <v>274</v>
      </c>
      <c r="C129" s="186"/>
      <c r="D129" s="275"/>
      <c r="E129" s="122"/>
    </row>
    <row r="130" spans="1:5" ht="12" customHeight="1">
      <c r="A130" s="13" t="s">
        <v>134</v>
      </c>
      <c r="B130" s="66" t="s">
        <v>290</v>
      </c>
      <c r="C130" s="186"/>
      <c r="D130" s="275"/>
      <c r="E130" s="122"/>
    </row>
    <row r="131" spans="1:5" ht="12" customHeight="1">
      <c r="A131" s="13" t="s">
        <v>135</v>
      </c>
      <c r="B131" s="66" t="s">
        <v>289</v>
      </c>
      <c r="C131" s="186"/>
      <c r="D131" s="275"/>
      <c r="E131" s="122"/>
    </row>
    <row r="132" spans="1:5" ht="12" customHeight="1">
      <c r="A132" s="13" t="s">
        <v>282</v>
      </c>
      <c r="B132" s="66" t="s">
        <v>277</v>
      </c>
      <c r="C132" s="186"/>
      <c r="D132" s="275"/>
      <c r="E132" s="122"/>
    </row>
    <row r="133" spans="1:5" ht="12" customHeight="1">
      <c r="A133" s="13" t="s">
        <v>283</v>
      </c>
      <c r="B133" s="66" t="s">
        <v>288</v>
      </c>
      <c r="C133" s="186"/>
      <c r="D133" s="275"/>
      <c r="E133" s="122"/>
    </row>
    <row r="134" spans="1:5" ht="16.5" thickBot="1">
      <c r="A134" s="11" t="s">
        <v>284</v>
      </c>
      <c r="B134" s="66" t="s">
        <v>287</v>
      </c>
      <c r="C134" s="188"/>
      <c r="D134" s="276"/>
      <c r="E134" s="124"/>
    </row>
    <row r="135" spans="1:5" ht="12" customHeight="1" thickBot="1">
      <c r="A135" s="18" t="s">
        <v>11</v>
      </c>
      <c r="B135" s="59" t="s">
        <v>365</v>
      </c>
      <c r="C135" s="185">
        <f>+C100+C121</f>
        <v>7901000</v>
      </c>
      <c r="D135" s="273">
        <f>+D100+D121</f>
        <v>7951000</v>
      </c>
      <c r="E135" s="121">
        <f>+E100+E121</f>
        <v>2124800</v>
      </c>
    </row>
    <row r="136" spans="1:5" ht="12" customHeight="1" thickBot="1">
      <c r="A136" s="18" t="s">
        <v>12</v>
      </c>
      <c r="B136" s="59" t="s">
        <v>440</v>
      </c>
      <c r="C136" s="185">
        <f>+C137+C138+C139</f>
        <v>0</v>
      </c>
      <c r="D136" s="273">
        <f>+D137+D138+D139</f>
        <v>0</v>
      </c>
      <c r="E136" s="121">
        <f>+E137+E138+E139</f>
        <v>0</v>
      </c>
    </row>
    <row r="137" spans="1:5" ht="12" customHeight="1">
      <c r="A137" s="13" t="s">
        <v>190</v>
      </c>
      <c r="B137" s="10" t="s">
        <v>373</v>
      </c>
      <c r="C137" s="186"/>
      <c r="D137" s="275"/>
      <c r="E137" s="122"/>
    </row>
    <row r="138" spans="1:5" ht="12" customHeight="1">
      <c r="A138" s="13" t="s">
        <v>191</v>
      </c>
      <c r="B138" s="10" t="s">
        <v>374</v>
      </c>
      <c r="C138" s="186"/>
      <c r="D138" s="275"/>
      <c r="E138" s="122"/>
    </row>
    <row r="139" spans="1:5" ht="12" customHeight="1" thickBot="1">
      <c r="A139" s="11" t="s">
        <v>192</v>
      </c>
      <c r="B139" s="10" t="s">
        <v>375</v>
      </c>
      <c r="C139" s="186"/>
      <c r="D139" s="275"/>
      <c r="E139" s="122"/>
    </row>
    <row r="140" spans="1:5" ht="12" customHeight="1" thickBot="1">
      <c r="A140" s="18" t="s">
        <v>13</v>
      </c>
      <c r="B140" s="59" t="s">
        <v>367</v>
      </c>
      <c r="C140" s="185">
        <f>SUM(C141:C146)</f>
        <v>0</v>
      </c>
      <c r="D140" s="273">
        <f>SUM(D141:D146)</f>
        <v>0</v>
      </c>
      <c r="E140" s="121">
        <f>SUM(E141:E146)</f>
        <v>0</v>
      </c>
    </row>
    <row r="141" spans="1:5" ht="12" customHeight="1">
      <c r="A141" s="13" t="s">
        <v>60</v>
      </c>
      <c r="B141" s="7" t="s">
        <v>376</v>
      </c>
      <c r="C141" s="186"/>
      <c r="D141" s="275"/>
      <c r="E141" s="122"/>
    </row>
    <row r="142" spans="1:5" ht="12" customHeight="1">
      <c r="A142" s="13" t="s">
        <v>61</v>
      </c>
      <c r="B142" s="7" t="s">
        <v>368</v>
      </c>
      <c r="C142" s="186"/>
      <c r="D142" s="275"/>
      <c r="E142" s="122"/>
    </row>
    <row r="143" spans="1:5" ht="12" customHeight="1">
      <c r="A143" s="13" t="s">
        <v>62</v>
      </c>
      <c r="B143" s="7" t="s">
        <v>369</v>
      </c>
      <c r="C143" s="186"/>
      <c r="D143" s="275"/>
      <c r="E143" s="122"/>
    </row>
    <row r="144" spans="1:5" ht="12" customHeight="1">
      <c r="A144" s="13" t="s">
        <v>120</v>
      </c>
      <c r="B144" s="7" t="s">
        <v>370</v>
      </c>
      <c r="C144" s="186"/>
      <c r="D144" s="275"/>
      <c r="E144" s="122"/>
    </row>
    <row r="145" spans="1:9" ht="12" customHeight="1">
      <c r="A145" s="13" t="s">
        <v>121</v>
      </c>
      <c r="B145" s="7" t="s">
        <v>371</v>
      </c>
      <c r="C145" s="186"/>
      <c r="D145" s="275"/>
      <c r="E145" s="122"/>
    </row>
    <row r="146" spans="1:9" ht="12" customHeight="1" thickBot="1">
      <c r="A146" s="16" t="s">
        <v>122</v>
      </c>
      <c r="B146" s="400" t="s">
        <v>372</v>
      </c>
      <c r="C146" s="264"/>
      <c r="D146" s="340"/>
      <c r="E146" s="258"/>
    </row>
    <row r="147" spans="1:9" ht="12" customHeight="1" thickBot="1">
      <c r="A147" s="18" t="s">
        <v>14</v>
      </c>
      <c r="B147" s="59" t="s">
        <v>380</v>
      </c>
      <c r="C147" s="191">
        <f>+C148+C149+C150+C151</f>
        <v>0</v>
      </c>
      <c r="D147" s="277">
        <f>+D148+D149+D150+D151</f>
        <v>0</v>
      </c>
      <c r="E147" s="227">
        <f>+E148+E149+E150+E151</f>
        <v>0</v>
      </c>
    </row>
    <row r="148" spans="1:9" ht="12" customHeight="1">
      <c r="A148" s="13" t="s">
        <v>63</v>
      </c>
      <c r="B148" s="7" t="s">
        <v>292</v>
      </c>
      <c r="C148" s="186"/>
      <c r="D148" s="275"/>
      <c r="E148" s="122"/>
    </row>
    <row r="149" spans="1:9" ht="12" customHeight="1">
      <c r="A149" s="13" t="s">
        <v>64</v>
      </c>
      <c r="B149" s="7" t="s">
        <v>293</v>
      </c>
      <c r="C149" s="186"/>
      <c r="D149" s="275"/>
      <c r="E149" s="122"/>
    </row>
    <row r="150" spans="1:9" ht="12" customHeight="1">
      <c r="A150" s="13" t="s">
        <v>209</v>
      </c>
      <c r="B150" s="7" t="s">
        <v>381</v>
      </c>
      <c r="C150" s="186"/>
      <c r="D150" s="275"/>
      <c r="E150" s="122"/>
    </row>
    <row r="151" spans="1:9" ht="12" customHeight="1" thickBot="1">
      <c r="A151" s="11" t="s">
        <v>210</v>
      </c>
      <c r="B151" s="5" t="s">
        <v>311</v>
      </c>
      <c r="C151" s="186"/>
      <c r="D151" s="275"/>
      <c r="E151" s="122"/>
    </row>
    <row r="152" spans="1:9" ht="12" customHeight="1" thickBot="1">
      <c r="A152" s="18" t="s">
        <v>15</v>
      </c>
      <c r="B152" s="59" t="s">
        <v>382</v>
      </c>
      <c r="C152" s="266">
        <f>SUM(C153:C157)</f>
        <v>0</v>
      </c>
      <c r="D152" s="278">
        <f>SUM(D153:D157)</f>
        <v>0</v>
      </c>
      <c r="E152" s="260">
        <f>SUM(E153:E157)</f>
        <v>0</v>
      </c>
    </row>
    <row r="153" spans="1:9" ht="12" customHeight="1">
      <c r="A153" s="13" t="s">
        <v>65</v>
      </c>
      <c r="B153" s="7" t="s">
        <v>377</v>
      </c>
      <c r="C153" s="186"/>
      <c r="D153" s="275"/>
      <c r="E153" s="122"/>
    </row>
    <row r="154" spans="1:9" ht="12" customHeight="1">
      <c r="A154" s="13" t="s">
        <v>66</v>
      </c>
      <c r="B154" s="7" t="s">
        <v>384</v>
      </c>
      <c r="C154" s="186"/>
      <c r="D154" s="275"/>
      <c r="E154" s="122"/>
    </row>
    <row r="155" spans="1:9" ht="12" customHeight="1">
      <c r="A155" s="13" t="s">
        <v>221</v>
      </c>
      <c r="B155" s="7" t="s">
        <v>379</v>
      </c>
      <c r="C155" s="186"/>
      <c r="D155" s="275"/>
      <c r="E155" s="122"/>
    </row>
    <row r="156" spans="1:9" ht="12" customHeight="1">
      <c r="A156" s="13" t="s">
        <v>222</v>
      </c>
      <c r="B156" s="7" t="s">
        <v>385</v>
      </c>
      <c r="C156" s="186"/>
      <c r="D156" s="275"/>
      <c r="E156" s="122"/>
    </row>
    <row r="157" spans="1:9" ht="12" customHeight="1" thickBot="1">
      <c r="A157" s="13" t="s">
        <v>383</v>
      </c>
      <c r="B157" s="7" t="s">
        <v>386</v>
      </c>
      <c r="C157" s="186"/>
      <c r="D157" s="275"/>
      <c r="E157" s="122"/>
    </row>
    <row r="158" spans="1:9" ht="12" customHeight="1" thickBot="1">
      <c r="A158" s="18" t="s">
        <v>16</v>
      </c>
      <c r="B158" s="59" t="s">
        <v>387</v>
      </c>
      <c r="C158" s="267"/>
      <c r="D158" s="279"/>
      <c r="E158" s="261"/>
    </row>
    <row r="159" spans="1:9" ht="12" customHeight="1" thickBot="1">
      <c r="A159" s="18" t="s">
        <v>17</v>
      </c>
      <c r="B159" s="59" t="s">
        <v>388</v>
      </c>
      <c r="C159" s="267"/>
      <c r="D159" s="279"/>
      <c r="E159" s="261"/>
    </row>
    <row r="160" spans="1:9" ht="15.2" customHeight="1" thickBot="1">
      <c r="A160" s="18" t="s">
        <v>18</v>
      </c>
      <c r="B160" s="59" t="s">
        <v>390</v>
      </c>
      <c r="C160" s="268">
        <f>+C136+C140+C147+C152+C158+C159</f>
        <v>0</v>
      </c>
      <c r="D160" s="280">
        <f>+D136+D140+D147+D152+D158+D159</f>
        <v>0</v>
      </c>
      <c r="E160" s="262">
        <f>+E136+E140+E147+E152+E158+E159</f>
        <v>0</v>
      </c>
      <c r="F160" s="208"/>
      <c r="G160" s="209"/>
      <c r="H160" s="209"/>
      <c r="I160" s="209"/>
    </row>
    <row r="161" spans="1:5" s="197" customFormat="1" ht="12.95" customHeight="1" thickBot="1">
      <c r="A161" s="131" t="s">
        <v>19</v>
      </c>
      <c r="B161" s="172" t="s">
        <v>389</v>
      </c>
      <c r="C161" s="268">
        <f>+C135+C160</f>
        <v>7901000</v>
      </c>
      <c r="D161" s="280">
        <f>+D135+D160</f>
        <v>7951000</v>
      </c>
      <c r="E161" s="262">
        <f>+E135+E160</f>
        <v>2124800</v>
      </c>
    </row>
    <row r="162" spans="1:5">
      <c r="C162" s="463">
        <f>C93-C161</f>
        <v>0</v>
      </c>
      <c r="D162" s="463">
        <f>D93-D161</f>
        <v>0</v>
      </c>
    </row>
    <row r="163" spans="1:5">
      <c r="A163" s="490" t="s">
        <v>294</v>
      </c>
      <c r="B163" s="490"/>
      <c r="C163" s="490"/>
      <c r="D163" s="490"/>
      <c r="E163" s="490"/>
    </row>
    <row r="164" spans="1:5" ht="15.2" customHeight="1" thickBot="1">
      <c r="A164" s="482" t="s">
        <v>108</v>
      </c>
      <c r="B164" s="482"/>
      <c r="C164" s="133"/>
      <c r="E164" s="133" t="str">
        <f>E96</f>
        <v xml:space="preserve"> Forintban!</v>
      </c>
    </row>
    <row r="165" spans="1:5" ht="25.5" customHeight="1" thickBot="1">
      <c r="A165" s="18">
        <v>1</v>
      </c>
      <c r="B165" s="23" t="s">
        <v>391</v>
      </c>
      <c r="C165" s="272">
        <f>+C68-C135</f>
        <v>0</v>
      </c>
      <c r="D165" s="185">
        <f>+D68-D135</f>
        <v>0</v>
      </c>
      <c r="E165" s="121">
        <f>+E68-E135</f>
        <v>0</v>
      </c>
    </row>
    <row r="166" spans="1:5" ht="32.450000000000003" customHeight="1" thickBot="1">
      <c r="A166" s="18" t="s">
        <v>10</v>
      </c>
      <c r="B166" s="23" t="s">
        <v>397</v>
      </c>
      <c r="C166" s="185">
        <f>+C92-C160</f>
        <v>0</v>
      </c>
      <c r="D166" s="185">
        <f>+D92-D160</f>
        <v>0</v>
      </c>
      <c r="E166" s="121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A7:B7"/>
    <mergeCell ref="B1:E1"/>
    <mergeCell ref="A2:E2"/>
    <mergeCell ref="A3:E3"/>
    <mergeCell ref="A4:E4"/>
    <mergeCell ref="A6:E6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C14" sqref="C14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CONCATENATE("6.12.2. melléklet ",IB_ALAPADATOK!A7," ",IB_ALAPADATOK!B7," ",IB_ALAPADATOK!C7," ",IB_ALAPADATOK!D7)</f>
        <v xml:space="preserve">6.12.2.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CONCATENATE(IB_6.12.1.sz.mell!B2:D2)</f>
        <v>10 kvi név</v>
      </c>
      <c r="C2" s="537"/>
      <c r="D2" s="538"/>
      <c r="E2" s="410" t="s">
        <v>553</v>
      </c>
    </row>
    <row r="3" spans="1:5" s="233" customFormat="1" ht="24.75" thickBot="1">
      <c r="A3" s="409" t="s">
        <v>141</v>
      </c>
      <c r="B3" s="536" t="s">
        <v>339</v>
      </c>
      <c r="C3" s="537"/>
      <c r="D3" s="538"/>
      <c r="E3" s="410" t="s">
        <v>47</v>
      </c>
    </row>
    <row r="4" spans="1:5" s="234" customFormat="1" ht="15.95" customHeight="1" thickBot="1">
      <c r="A4" s="411"/>
      <c r="B4" s="411"/>
      <c r="C4" s="412"/>
      <c r="D4" s="413"/>
      <c r="E4" s="412" t="str">
        <f>IB_6.12.1.sz.mell!E4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20" zoomScaleNormal="120" workbookViewId="0">
      <selection activeCell="B36" sqref="B36"/>
    </sheetView>
  </sheetViews>
  <sheetFormatPr defaultRowHeight="12.75"/>
  <cols>
    <col min="1" max="1" width="13.83203125" style="102" customWidth="1"/>
    <col min="2" max="2" width="54.5" style="103" customWidth="1"/>
    <col min="3" max="5" width="15.83203125" style="103" customWidth="1"/>
    <col min="6" max="16384" width="9.33203125" style="103"/>
  </cols>
  <sheetData>
    <row r="1" spans="1:5" s="93" customFormat="1" ht="16.5" thickBot="1">
      <c r="A1" s="408"/>
      <c r="B1" s="541" t="str">
        <f>CONCATENATE("6.12.3. melléklet ",IB_ALAPADATOK!A7," ",IB_ALAPADATOK!B7," ",IB_ALAPADATOK!C7," ",IB_ALAPADATOK!D7)</f>
        <v xml:space="preserve">6.12.3. melléklet a 7/2019.(X.09.)  önkormányzati rendelethez </v>
      </c>
      <c r="C1" s="542"/>
      <c r="D1" s="542"/>
      <c r="E1" s="542"/>
    </row>
    <row r="2" spans="1:5" s="233" customFormat="1" ht="25.5" customHeight="1" thickBot="1">
      <c r="A2" s="409" t="s">
        <v>479</v>
      </c>
      <c r="B2" s="536" t="str">
        <f>CONCATENATE(IB_6.12.2.sz.mell!B2:D2)</f>
        <v>10 kvi név</v>
      </c>
      <c r="C2" s="537"/>
      <c r="D2" s="538"/>
      <c r="E2" s="410" t="s">
        <v>552</v>
      </c>
    </row>
    <row r="3" spans="1:5" s="233" customFormat="1" ht="24.75" thickBot="1">
      <c r="A3" s="409" t="s">
        <v>141</v>
      </c>
      <c r="B3" s="536" t="s">
        <v>434</v>
      </c>
      <c r="C3" s="537"/>
      <c r="D3" s="538"/>
      <c r="E3" s="410" t="s">
        <v>348</v>
      </c>
    </row>
    <row r="4" spans="1:5" s="234" customFormat="1" ht="15.95" customHeight="1" thickBot="1">
      <c r="A4" s="411"/>
      <c r="B4" s="411"/>
      <c r="C4" s="412"/>
      <c r="D4" s="413"/>
      <c r="E4" s="412" t="str">
        <f>IB_6.12.2.sz.mell!E4</f>
        <v xml:space="preserve"> Forintban!</v>
      </c>
    </row>
    <row r="5" spans="1:5" ht="24.75" thickBot="1">
      <c r="A5" s="414" t="s">
        <v>142</v>
      </c>
      <c r="B5" s="415" t="s">
        <v>511</v>
      </c>
      <c r="C5" s="415" t="s">
        <v>475</v>
      </c>
      <c r="D5" s="416" t="s">
        <v>476</v>
      </c>
      <c r="E5" s="397" t="str">
        <f>+CONCATENATE("Teljesítés",CHAR(10),LEFT(IB_ÖSSZEFÜGGÉSEK!A6,4),". VI. 30.")</f>
        <v>Teljesítés
2019. VI. 30.</v>
      </c>
    </row>
    <row r="6" spans="1:5" s="235" customFormat="1" ht="12.95" customHeight="1" thickBot="1">
      <c r="A6" s="447" t="s">
        <v>404</v>
      </c>
      <c r="B6" s="448" t="s">
        <v>405</v>
      </c>
      <c r="C6" s="448" t="s">
        <v>406</v>
      </c>
      <c r="D6" s="449" t="s">
        <v>408</v>
      </c>
      <c r="E6" s="450" t="s">
        <v>407</v>
      </c>
    </row>
    <row r="7" spans="1:5" s="235" customFormat="1" ht="15.95" customHeight="1" thickBot="1">
      <c r="A7" s="530" t="s">
        <v>43</v>
      </c>
      <c r="B7" s="531"/>
      <c r="C7" s="531"/>
      <c r="D7" s="531"/>
      <c r="E7" s="532"/>
    </row>
    <row r="8" spans="1:5" s="171" customFormat="1" ht="12" customHeight="1" thickBot="1">
      <c r="A8" s="84" t="s">
        <v>9</v>
      </c>
      <c r="B8" s="94" t="s">
        <v>425</v>
      </c>
      <c r="C8" s="138">
        <f>SUM(C9:C19)</f>
        <v>0</v>
      </c>
      <c r="D8" s="138">
        <f>SUM(D9:D19)</f>
        <v>0</v>
      </c>
      <c r="E8" s="140">
        <f>SUM(E9:E19)</f>
        <v>0</v>
      </c>
    </row>
    <row r="9" spans="1:5" s="171" customFormat="1" ht="12" customHeight="1">
      <c r="A9" s="228" t="s">
        <v>67</v>
      </c>
      <c r="B9" s="8" t="s">
        <v>198</v>
      </c>
      <c r="C9" s="295"/>
      <c r="D9" s="295"/>
      <c r="E9" s="342"/>
    </row>
    <row r="10" spans="1:5" s="171" customFormat="1" ht="12" customHeight="1">
      <c r="A10" s="229" t="s">
        <v>68</v>
      </c>
      <c r="B10" s="6" t="s">
        <v>199</v>
      </c>
      <c r="C10" s="135"/>
      <c r="D10" s="282"/>
      <c r="E10" s="287"/>
    </row>
    <row r="11" spans="1:5" s="171" customFormat="1" ht="12" customHeight="1">
      <c r="A11" s="229" t="s">
        <v>69</v>
      </c>
      <c r="B11" s="6" t="s">
        <v>200</v>
      </c>
      <c r="C11" s="135"/>
      <c r="D11" s="282"/>
      <c r="E11" s="287"/>
    </row>
    <row r="12" spans="1:5" s="171" customFormat="1" ht="12" customHeight="1">
      <c r="A12" s="229" t="s">
        <v>70</v>
      </c>
      <c r="B12" s="6" t="s">
        <v>201</v>
      </c>
      <c r="C12" s="135"/>
      <c r="D12" s="282"/>
      <c r="E12" s="287"/>
    </row>
    <row r="13" spans="1:5" s="171" customFormat="1" ht="12" customHeight="1">
      <c r="A13" s="229" t="s">
        <v>102</v>
      </c>
      <c r="B13" s="6" t="s">
        <v>202</v>
      </c>
      <c r="C13" s="135"/>
      <c r="D13" s="282"/>
      <c r="E13" s="287"/>
    </row>
    <row r="14" spans="1:5" s="171" customFormat="1" ht="12" customHeight="1">
      <c r="A14" s="229" t="s">
        <v>71</v>
      </c>
      <c r="B14" s="6" t="s">
        <v>320</v>
      </c>
      <c r="C14" s="135"/>
      <c r="D14" s="282"/>
      <c r="E14" s="287"/>
    </row>
    <row r="15" spans="1:5" s="171" customFormat="1" ht="12" customHeight="1">
      <c r="A15" s="229" t="s">
        <v>72</v>
      </c>
      <c r="B15" s="5" t="s">
        <v>321</v>
      </c>
      <c r="C15" s="135"/>
      <c r="D15" s="282"/>
      <c r="E15" s="287"/>
    </row>
    <row r="16" spans="1:5" s="171" customFormat="1" ht="12" customHeight="1">
      <c r="A16" s="229" t="s">
        <v>80</v>
      </c>
      <c r="B16" s="6" t="s">
        <v>205</v>
      </c>
      <c r="C16" s="293"/>
      <c r="D16" s="347"/>
      <c r="E16" s="291"/>
    </row>
    <row r="17" spans="1:5" s="236" customFormat="1" ht="12" customHeight="1">
      <c r="A17" s="229" t="s">
        <v>81</v>
      </c>
      <c r="B17" s="6" t="s">
        <v>206</v>
      </c>
      <c r="C17" s="135"/>
      <c r="D17" s="282"/>
      <c r="E17" s="287"/>
    </row>
    <row r="18" spans="1:5" s="236" customFormat="1" ht="12" customHeight="1">
      <c r="A18" s="229" t="s">
        <v>82</v>
      </c>
      <c r="B18" s="6" t="s">
        <v>353</v>
      </c>
      <c r="C18" s="137"/>
      <c r="D18" s="283"/>
      <c r="E18" s="288"/>
    </row>
    <row r="19" spans="1:5" s="236" customFormat="1" ht="12" customHeight="1" thickBot="1">
      <c r="A19" s="229" t="s">
        <v>83</v>
      </c>
      <c r="B19" s="5" t="s">
        <v>207</v>
      </c>
      <c r="C19" s="137"/>
      <c r="D19" s="283"/>
      <c r="E19" s="288"/>
    </row>
    <row r="20" spans="1:5" s="171" customFormat="1" ht="12" customHeight="1" thickBot="1">
      <c r="A20" s="84" t="s">
        <v>10</v>
      </c>
      <c r="B20" s="94" t="s">
        <v>322</v>
      </c>
      <c r="C20" s="138">
        <f>SUM(C21:C23)</f>
        <v>0</v>
      </c>
      <c r="D20" s="284">
        <f>SUM(D21:D23)</f>
        <v>0</v>
      </c>
      <c r="E20" s="166">
        <f>SUM(E21:E23)</f>
        <v>0</v>
      </c>
    </row>
    <row r="21" spans="1:5" s="236" customFormat="1" ht="12" customHeight="1">
      <c r="A21" s="229" t="s">
        <v>73</v>
      </c>
      <c r="B21" s="7" t="s">
        <v>181</v>
      </c>
      <c r="C21" s="135"/>
      <c r="D21" s="282"/>
      <c r="E21" s="287"/>
    </row>
    <row r="22" spans="1:5" s="236" customFormat="1" ht="12" customHeight="1">
      <c r="A22" s="229" t="s">
        <v>74</v>
      </c>
      <c r="B22" s="6" t="s">
        <v>323</v>
      </c>
      <c r="C22" s="135"/>
      <c r="D22" s="282"/>
      <c r="E22" s="287"/>
    </row>
    <row r="23" spans="1:5" s="236" customFormat="1" ht="12" customHeight="1">
      <c r="A23" s="229" t="s">
        <v>75</v>
      </c>
      <c r="B23" s="6" t="s">
        <v>324</v>
      </c>
      <c r="C23" s="135"/>
      <c r="D23" s="282"/>
      <c r="E23" s="287"/>
    </row>
    <row r="24" spans="1:5" s="236" customFormat="1" ht="12" customHeight="1" thickBot="1">
      <c r="A24" s="229" t="s">
        <v>76</v>
      </c>
      <c r="B24" s="6" t="s">
        <v>430</v>
      </c>
      <c r="C24" s="135"/>
      <c r="D24" s="282"/>
      <c r="E24" s="287"/>
    </row>
    <row r="25" spans="1:5" s="236" customFormat="1" ht="12" customHeight="1" thickBot="1">
      <c r="A25" s="89" t="s">
        <v>11</v>
      </c>
      <c r="B25" s="59" t="s">
        <v>119</v>
      </c>
      <c r="C25" s="344"/>
      <c r="D25" s="346"/>
      <c r="E25" s="165"/>
    </row>
    <row r="26" spans="1:5" s="236" customFormat="1" ht="12" customHeight="1" thickBot="1">
      <c r="A26" s="89" t="s">
        <v>12</v>
      </c>
      <c r="B26" s="59" t="s">
        <v>325</v>
      </c>
      <c r="C26" s="138">
        <f>+C27+C28</f>
        <v>0</v>
      </c>
      <c r="D26" s="284">
        <f>+D27+D28</f>
        <v>0</v>
      </c>
      <c r="E26" s="166">
        <f>+E27+E28</f>
        <v>0</v>
      </c>
    </row>
    <row r="27" spans="1:5" s="236" customFormat="1" ht="12" customHeight="1">
      <c r="A27" s="230" t="s">
        <v>190</v>
      </c>
      <c r="B27" s="231" t="s">
        <v>323</v>
      </c>
      <c r="C27" s="294"/>
      <c r="D27" s="61"/>
      <c r="E27" s="292"/>
    </row>
    <row r="28" spans="1:5" s="236" customFormat="1" ht="22.5">
      <c r="A28" s="230" t="s">
        <v>191</v>
      </c>
      <c r="B28" s="232" t="s">
        <v>326</v>
      </c>
      <c r="C28" s="139"/>
      <c r="D28" s="285"/>
      <c r="E28" s="289"/>
    </row>
    <row r="29" spans="1:5" s="236" customFormat="1" ht="12" customHeight="1" thickBot="1">
      <c r="A29" s="229" t="s">
        <v>192</v>
      </c>
      <c r="B29" s="64" t="s">
        <v>431</v>
      </c>
      <c r="C29" s="50"/>
      <c r="D29" s="348"/>
      <c r="E29" s="343"/>
    </row>
    <row r="30" spans="1:5" s="236" customFormat="1" ht="12" customHeight="1" thickBot="1">
      <c r="A30" s="89" t="s">
        <v>13</v>
      </c>
      <c r="B30" s="59" t="s">
        <v>327</v>
      </c>
      <c r="C30" s="138">
        <f>+C31+C32+C33</f>
        <v>0</v>
      </c>
      <c r="D30" s="284">
        <f>+D31+D32+D33</f>
        <v>0</v>
      </c>
      <c r="E30" s="166">
        <f>+E31+E32+E33</f>
        <v>0</v>
      </c>
    </row>
    <row r="31" spans="1:5" s="236" customFormat="1" ht="12" customHeight="1">
      <c r="A31" s="230" t="s">
        <v>60</v>
      </c>
      <c r="B31" s="231" t="s">
        <v>212</v>
      </c>
      <c r="C31" s="294"/>
      <c r="D31" s="61"/>
      <c r="E31" s="292"/>
    </row>
    <row r="32" spans="1:5" s="236" customFormat="1" ht="12" customHeight="1">
      <c r="A32" s="230" t="s">
        <v>61</v>
      </c>
      <c r="B32" s="232" t="s">
        <v>213</v>
      </c>
      <c r="C32" s="139"/>
      <c r="D32" s="285"/>
      <c r="E32" s="289"/>
    </row>
    <row r="33" spans="1:5" s="236" customFormat="1" ht="12" customHeight="1" thickBot="1">
      <c r="A33" s="229" t="s">
        <v>62</v>
      </c>
      <c r="B33" s="64" t="s">
        <v>214</v>
      </c>
      <c r="C33" s="50"/>
      <c r="D33" s="348"/>
      <c r="E33" s="343"/>
    </row>
    <row r="34" spans="1:5" s="171" customFormat="1" ht="12" customHeight="1" thickBot="1">
      <c r="A34" s="89" t="s">
        <v>14</v>
      </c>
      <c r="B34" s="59" t="s">
        <v>297</v>
      </c>
      <c r="C34" s="344"/>
      <c r="D34" s="346"/>
      <c r="E34" s="165"/>
    </row>
    <row r="35" spans="1:5" s="171" customFormat="1" ht="12" customHeight="1" thickBot="1">
      <c r="A35" s="89" t="s">
        <v>15</v>
      </c>
      <c r="B35" s="59" t="s">
        <v>328</v>
      </c>
      <c r="C35" s="344"/>
      <c r="D35" s="346"/>
      <c r="E35" s="165"/>
    </row>
    <row r="36" spans="1:5" s="171" customFormat="1" ht="12" customHeight="1" thickBot="1">
      <c r="A36" s="84" t="s">
        <v>16</v>
      </c>
      <c r="B36" s="59" t="s">
        <v>432</v>
      </c>
      <c r="C36" s="138">
        <f>+C8+C20+C25+C26+C30+C34+C35</f>
        <v>0</v>
      </c>
      <c r="D36" s="284">
        <f>+D8+D20+D25+D26+D30+D34+D35</f>
        <v>0</v>
      </c>
      <c r="E36" s="166">
        <f>+E8+E20+E25+E26+E30+E34+E35</f>
        <v>0</v>
      </c>
    </row>
    <row r="37" spans="1:5" s="171" customFormat="1" ht="12" customHeight="1" thickBot="1">
      <c r="A37" s="95" t="s">
        <v>17</v>
      </c>
      <c r="B37" s="59" t="s">
        <v>330</v>
      </c>
      <c r="C37" s="138">
        <f>+C38+C39+C40</f>
        <v>0</v>
      </c>
      <c r="D37" s="284">
        <f>+D38+D39+D40</f>
        <v>0</v>
      </c>
      <c r="E37" s="166">
        <f>+E38+E39+E40</f>
        <v>0</v>
      </c>
    </row>
    <row r="38" spans="1:5" s="171" customFormat="1" ht="12" customHeight="1">
      <c r="A38" s="230" t="s">
        <v>331</v>
      </c>
      <c r="B38" s="231" t="s">
        <v>163</v>
      </c>
      <c r="C38" s="294"/>
      <c r="D38" s="61"/>
      <c r="E38" s="292"/>
    </row>
    <row r="39" spans="1:5" s="171" customFormat="1" ht="12" customHeight="1">
      <c r="A39" s="230" t="s">
        <v>332</v>
      </c>
      <c r="B39" s="232" t="s">
        <v>2</v>
      </c>
      <c r="C39" s="139"/>
      <c r="D39" s="285"/>
      <c r="E39" s="289"/>
    </row>
    <row r="40" spans="1:5" s="236" customFormat="1" ht="12" customHeight="1" thickBot="1">
      <c r="A40" s="229" t="s">
        <v>333</v>
      </c>
      <c r="B40" s="64" t="s">
        <v>334</v>
      </c>
      <c r="C40" s="50"/>
      <c r="D40" s="348"/>
      <c r="E40" s="343"/>
    </row>
    <row r="41" spans="1:5" s="236" customFormat="1" ht="15.2" customHeight="1" thickBot="1">
      <c r="A41" s="95" t="s">
        <v>18</v>
      </c>
      <c r="B41" s="96" t="s">
        <v>335</v>
      </c>
      <c r="C41" s="345">
        <f>+C36+C37</f>
        <v>0</v>
      </c>
      <c r="D41" s="341">
        <f>+D36+D37</f>
        <v>0</v>
      </c>
      <c r="E41" s="169">
        <f>+E36+E37</f>
        <v>0</v>
      </c>
    </row>
    <row r="42" spans="1:5" s="236" customFormat="1" ht="15.2" customHeight="1">
      <c r="A42" s="97"/>
      <c r="B42" s="98"/>
      <c r="C42" s="167"/>
    </row>
    <row r="43" spans="1:5" ht="13.5" thickBot="1">
      <c r="A43" s="99"/>
      <c r="B43" s="100"/>
      <c r="C43" s="168"/>
    </row>
    <row r="44" spans="1:5" s="235" customFormat="1" ht="16.5" customHeight="1" thickBot="1">
      <c r="A44" s="530" t="s">
        <v>44</v>
      </c>
      <c r="B44" s="531"/>
      <c r="C44" s="531"/>
      <c r="D44" s="531"/>
      <c r="E44" s="532"/>
    </row>
    <row r="45" spans="1:5" s="237" customFormat="1" ht="12" customHeight="1" thickBot="1">
      <c r="A45" s="89" t="s">
        <v>9</v>
      </c>
      <c r="B45" s="59" t="s">
        <v>336</v>
      </c>
      <c r="C45" s="138">
        <f>SUM(C46:C50)</f>
        <v>0</v>
      </c>
      <c r="D45" s="284">
        <f>SUM(D46:D50)</f>
        <v>0</v>
      </c>
      <c r="E45" s="166">
        <f>SUM(E46:E50)</f>
        <v>0</v>
      </c>
    </row>
    <row r="46" spans="1:5" ht="12" customHeight="1">
      <c r="A46" s="229" t="s">
        <v>67</v>
      </c>
      <c r="B46" s="7" t="s">
        <v>38</v>
      </c>
      <c r="C46" s="294"/>
      <c r="D46" s="61"/>
      <c r="E46" s="292"/>
    </row>
    <row r="47" spans="1:5" ht="12" customHeight="1">
      <c r="A47" s="229" t="s">
        <v>68</v>
      </c>
      <c r="B47" s="6" t="s">
        <v>128</v>
      </c>
      <c r="C47" s="49"/>
      <c r="D47" s="62"/>
      <c r="E47" s="290"/>
    </row>
    <row r="48" spans="1:5" ht="12" customHeight="1">
      <c r="A48" s="229" t="s">
        <v>69</v>
      </c>
      <c r="B48" s="6" t="s">
        <v>95</v>
      </c>
      <c r="C48" s="49"/>
      <c r="D48" s="62"/>
      <c r="E48" s="290"/>
    </row>
    <row r="49" spans="1:5" ht="12" customHeight="1">
      <c r="A49" s="229" t="s">
        <v>70</v>
      </c>
      <c r="B49" s="6" t="s">
        <v>129</v>
      </c>
      <c r="C49" s="49"/>
      <c r="D49" s="62"/>
      <c r="E49" s="290"/>
    </row>
    <row r="50" spans="1:5" ht="12" customHeight="1" thickBot="1">
      <c r="A50" s="229" t="s">
        <v>102</v>
      </c>
      <c r="B50" s="6" t="s">
        <v>130</v>
      </c>
      <c r="C50" s="49"/>
      <c r="D50" s="62"/>
      <c r="E50" s="290"/>
    </row>
    <row r="51" spans="1:5" ht="12" customHeight="1" thickBot="1">
      <c r="A51" s="89" t="s">
        <v>10</v>
      </c>
      <c r="B51" s="59" t="s">
        <v>337</v>
      </c>
      <c r="C51" s="138">
        <f>SUM(C52:C54)</f>
        <v>0</v>
      </c>
      <c r="D51" s="284">
        <f>SUM(D52:D54)</f>
        <v>0</v>
      </c>
      <c r="E51" s="166">
        <f>SUM(E52:E54)</f>
        <v>0</v>
      </c>
    </row>
    <row r="52" spans="1:5" s="237" customFormat="1" ht="12" customHeight="1">
      <c r="A52" s="229" t="s">
        <v>73</v>
      </c>
      <c r="B52" s="7" t="s">
        <v>157</v>
      </c>
      <c r="C52" s="294"/>
      <c r="D52" s="61"/>
      <c r="E52" s="292"/>
    </row>
    <row r="53" spans="1:5" ht="12" customHeight="1">
      <c r="A53" s="229" t="s">
        <v>74</v>
      </c>
      <c r="B53" s="6" t="s">
        <v>132</v>
      </c>
      <c r="C53" s="49"/>
      <c r="D53" s="62"/>
      <c r="E53" s="290"/>
    </row>
    <row r="54" spans="1:5" ht="12" customHeight="1">
      <c r="A54" s="229" t="s">
        <v>75</v>
      </c>
      <c r="B54" s="6" t="s">
        <v>45</v>
      </c>
      <c r="C54" s="49"/>
      <c r="D54" s="62"/>
      <c r="E54" s="290"/>
    </row>
    <row r="55" spans="1:5" ht="12" customHeight="1" thickBot="1">
      <c r="A55" s="229" t="s">
        <v>76</v>
      </c>
      <c r="B55" s="6" t="s">
        <v>429</v>
      </c>
      <c r="C55" s="49"/>
      <c r="D55" s="62"/>
      <c r="E55" s="290"/>
    </row>
    <row r="56" spans="1:5" ht="15.2" customHeight="1" thickBot="1">
      <c r="A56" s="89" t="s">
        <v>11</v>
      </c>
      <c r="B56" s="59" t="s">
        <v>5</v>
      </c>
      <c r="C56" s="344"/>
      <c r="D56" s="346"/>
      <c r="E56" s="165"/>
    </row>
    <row r="57" spans="1:5" ht="13.5" thickBot="1">
      <c r="A57" s="89" t="s">
        <v>12</v>
      </c>
      <c r="B57" s="101" t="s">
        <v>433</v>
      </c>
      <c r="C57" s="345">
        <f>+C45+C51+C56</f>
        <v>0</v>
      </c>
      <c r="D57" s="341">
        <f>+D45+D51+D56</f>
        <v>0</v>
      </c>
      <c r="E57" s="169">
        <f>+E45+E51+E56</f>
        <v>0</v>
      </c>
    </row>
    <row r="58" spans="1:5" ht="15.2" customHeight="1" thickBot="1">
      <c r="C58" s="464">
        <f>C41-C57</f>
        <v>0</v>
      </c>
      <c r="D58" s="464">
        <f>D41-D57</f>
        <v>0</v>
      </c>
    </row>
    <row r="59" spans="1:5" ht="14.45" customHeight="1" thickBot="1">
      <c r="A59" s="350" t="s">
        <v>512</v>
      </c>
      <c r="B59" s="351"/>
      <c r="C59" s="339"/>
      <c r="D59" s="339"/>
      <c r="E59" s="338"/>
    </row>
    <row r="60" spans="1:5" ht="13.5" thickBot="1">
      <c r="A60" s="352" t="s">
        <v>513</v>
      </c>
      <c r="B60" s="353"/>
      <c r="C60" s="339"/>
      <c r="D60" s="339"/>
      <c r="E60" s="338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>
  <sheetPr>
    <tabColor rgb="FFFF0000"/>
  </sheetPr>
  <dimension ref="A1:G29"/>
  <sheetViews>
    <sheetView zoomScale="120" zoomScaleNormal="120" workbookViewId="0">
      <selection activeCell="B2" sqref="B2"/>
    </sheetView>
  </sheetViews>
  <sheetFormatPr defaultRowHeight="12.75"/>
  <cols>
    <col min="1" max="1" width="5.5" style="31" customWidth="1"/>
    <col min="2" max="2" width="33.1640625" style="31" customWidth="1"/>
    <col min="3" max="3" width="12.33203125" style="31" customWidth="1"/>
    <col min="4" max="4" width="11.5" style="31" customWidth="1"/>
    <col min="5" max="5" width="11.33203125" style="31" customWidth="1"/>
    <col min="6" max="6" width="11" style="31" customWidth="1"/>
    <col min="7" max="7" width="14.33203125" style="31" customWidth="1"/>
    <col min="8" max="16384" width="9.33203125" style="31"/>
  </cols>
  <sheetData>
    <row r="1" spans="1:7" ht="16.5" customHeight="1">
      <c r="B1" s="502" t="str">
        <f>CONCATENATE("10. melléklet ",IB_ALAPADATOK!A7," ",IB_ALAPADATOK!B7," ",IB_ALAPADATOK!C7," ",IB_ALAPADATOK!D7)</f>
        <v xml:space="preserve">10. melléklet a 7/2019.(X.09.)  önkormányzati rendelethez </v>
      </c>
      <c r="C1" s="502"/>
      <c r="D1" s="502"/>
      <c r="E1" s="502"/>
      <c r="F1" s="502"/>
      <c r="G1" s="502"/>
    </row>
    <row r="3" spans="1:7" ht="43.5" customHeight="1">
      <c r="A3" s="543" t="s">
        <v>3</v>
      </c>
      <c r="B3" s="543"/>
      <c r="C3" s="543"/>
      <c r="D3" s="543"/>
      <c r="E3" s="543"/>
      <c r="F3" s="543"/>
      <c r="G3" s="543"/>
    </row>
    <row r="5" spans="1:7" s="71" customFormat="1" ht="27.2" customHeight="1">
      <c r="A5" s="544" t="s">
        <v>545</v>
      </c>
      <c r="B5" s="545"/>
      <c r="C5" s="545"/>
      <c r="D5" s="545"/>
      <c r="E5" s="545"/>
      <c r="F5" s="545"/>
      <c r="G5" s="545"/>
    </row>
    <row r="6" spans="1:7" s="71" customFormat="1" ht="15.75">
      <c r="A6" s="70"/>
      <c r="B6" s="70"/>
      <c r="C6" s="70"/>
      <c r="D6" s="70"/>
      <c r="E6" s="70"/>
      <c r="F6" s="70"/>
      <c r="G6" s="70"/>
    </row>
    <row r="7" spans="1:7" s="72" customFormat="1">
      <c r="A7" s="91"/>
      <c r="B7" s="91"/>
      <c r="C7" s="91"/>
      <c r="D7" s="91"/>
      <c r="E7" s="91"/>
      <c r="F7" s="91"/>
      <c r="G7" s="91"/>
    </row>
    <row r="8" spans="1:7" s="73" customFormat="1" ht="15.2" customHeight="1" thickBot="1">
      <c r="A8" s="120"/>
      <c r="B8" s="107"/>
      <c r="C8" s="107"/>
      <c r="D8" s="119"/>
      <c r="E8" s="107"/>
      <c r="F8" s="107"/>
      <c r="G8" s="354" t="str">
        <f>IB_6.3.3.sz.mell!E4</f>
        <v xml:space="preserve"> Forintban!</v>
      </c>
    </row>
    <row r="9" spans="1:7" s="48" customFormat="1" ht="42" customHeight="1" thickBot="1">
      <c r="A9" s="81" t="s">
        <v>7</v>
      </c>
      <c r="B9" s="82" t="s">
        <v>143</v>
      </c>
      <c r="C9" s="82" t="s">
        <v>144</v>
      </c>
      <c r="D9" s="82" t="s">
        <v>145</v>
      </c>
      <c r="E9" s="82" t="s">
        <v>146</v>
      </c>
      <c r="F9" s="82" t="s">
        <v>147</v>
      </c>
      <c r="G9" s="83" t="s">
        <v>41</v>
      </c>
    </row>
    <row r="10" spans="1:7" ht="24" customHeight="1">
      <c r="A10" s="108" t="s">
        <v>9</v>
      </c>
      <c r="B10" s="87" t="s">
        <v>148</v>
      </c>
      <c r="C10" s="74"/>
      <c r="D10" s="74"/>
      <c r="E10" s="74"/>
      <c r="F10" s="74"/>
      <c r="G10" s="109">
        <f>SUM(C10:F10)</f>
        <v>0</v>
      </c>
    </row>
    <row r="11" spans="1:7" ht="24" customHeight="1">
      <c r="A11" s="110" t="s">
        <v>10</v>
      </c>
      <c r="B11" s="88" t="s">
        <v>149</v>
      </c>
      <c r="C11" s="75"/>
      <c r="D11" s="75"/>
      <c r="E11" s="75">
        <v>7943208</v>
      </c>
      <c r="F11" s="75"/>
      <c r="G11" s="111">
        <f t="shared" ref="G11:G16" si="0">SUM(C11:F11)</f>
        <v>7943208</v>
      </c>
    </row>
    <row r="12" spans="1:7" ht="24" customHeight="1">
      <c r="A12" s="110" t="s">
        <v>11</v>
      </c>
      <c r="B12" s="88" t="s">
        <v>150</v>
      </c>
      <c r="C12" s="75"/>
      <c r="D12" s="75"/>
      <c r="E12" s="75"/>
      <c r="F12" s="75"/>
      <c r="G12" s="111">
        <f t="shared" si="0"/>
        <v>0</v>
      </c>
    </row>
    <row r="13" spans="1:7" ht="24" customHeight="1">
      <c r="A13" s="110" t="s">
        <v>12</v>
      </c>
      <c r="B13" s="88" t="s">
        <v>151</v>
      </c>
      <c r="C13" s="75"/>
      <c r="D13" s="75"/>
      <c r="E13" s="75"/>
      <c r="F13" s="75"/>
      <c r="G13" s="111">
        <f t="shared" si="0"/>
        <v>0</v>
      </c>
    </row>
    <row r="14" spans="1:7" ht="24" customHeight="1">
      <c r="A14" s="110" t="s">
        <v>13</v>
      </c>
      <c r="B14" s="88" t="s">
        <v>152</v>
      </c>
      <c r="C14" s="75"/>
      <c r="D14" s="75"/>
      <c r="E14" s="75"/>
      <c r="F14" s="75"/>
      <c r="G14" s="111">
        <f t="shared" si="0"/>
        <v>0</v>
      </c>
    </row>
    <row r="15" spans="1:7" ht="24" customHeight="1" thickBot="1">
      <c r="A15" s="112" t="s">
        <v>14</v>
      </c>
      <c r="B15" s="113" t="s">
        <v>153</v>
      </c>
      <c r="C15" s="76"/>
      <c r="D15" s="76"/>
      <c r="E15" s="76"/>
      <c r="F15" s="76"/>
      <c r="G15" s="114">
        <f t="shared" si="0"/>
        <v>0</v>
      </c>
    </row>
    <row r="16" spans="1:7" s="77" customFormat="1" ht="24" customHeight="1" thickBot="1">
      <c r="A16" s="115" t="s">
        <v>15</v>
      </c>
      <c r="B16" s="116" t="s">
        <v>41</v>
      </c>
      <c r="C16" s="117">
        <f>SUM(C10:C15)</f>
        <v>0</v>
      </c>
      <c r="D16" s="117">
        <f>SUM(D10:D15)</f>
        <v>0</v>
      </c>
      <c r="E16" s="117">
        <f>SUM(E10:E15)</f>
        <v>7943208</v>
      </c>
      <c r="F16" s="117">
        <f>SUM(F10:F15)</f>
        <v>0</v>
      </c>
      <c r="G16" s="118">
        <f t="shared" si="0"/>
        <v>7943208</v>
      </c>
    </row>
    <row r="17" spans="1:7" s="72" customFormat="1"/>
    <row r="18" spans="1:7" s="72" customFormat="1"/>
    <row r="19" spans="1:7" s="72" customFormat="1"/>
    <row r="20" spans="1:7" s="72" customFormat="1" ht="15.75">
      <c r="A20" s="548" t="s">
        <v>544</v>
      </c>
      <c r="B20" s="549"/>
      <c r="C20" s="549"/>
      <c r="D20" s="549"/>
    </row>
    <row r="21" spans="1:7" s="72" customFormat="1"/>
    <row r="22" spans="1:7">
      <c r="A22" s="72"/>
      <c r="B22" s="72"/>
      <c r="C22" s="72"/>
      <c r="D22" s="72"/>
      <c r="E22" s="72"/>
      <c r="F22" s="72"/>
      <c r="G22" s="72"/>
    </row>
    <row r="23" spans="1:7">
      <c r="A23" s="72"/>
      <c r="B23" s="72"/>
      <c r="C23" s="72"/>
      <c r="D23" s="72"/>
      <c r="E23" s="72"/>
      <c r="F23" s="72"/>
      <c r="G23" s="72"/>
    </row>
    <row r="24" spans="1:7" ht="13.5">
      <c r="A24" s="72"/>
      <c r="B24" s="72"/>
      <c r="C24" s="546" t="s">
        <v>154</v>
      </c>
      <c r="D24" s="547"/>
      <c r="E24" s="547"/>
      <c r="F24" s="547"/>
      <c r="G24" s="72"/>
    </row>
    <row r="25" spans="1:7" ht="13.5">
      <c r="A25" s="72"/>
      <c r="B25" s="72"/>
      <c r="C25" s="451"/>
      <c r="D25" s="452"/>
      <c r="E25" s="452"/>
      <c r="F25" s="451"/>
      <c r="G25" s="72"/>
    </row>
    <row r="26" spans="1:7" ht="13.5">
      <c r="A26" s="72"/>
      <c r="B26" s="72"/>
      <c r="C26" s="451"/>
      <c r="D26" s="452"/>
      <c r="E26" s="452"/>
      <c r="F26" s="451"/>
      <c r="G26" s="72"/>
    </row>
    <row r="27" spans="1:7">
      <c r="A27" s="72"/>
      <c r="B27" s="72"/>
      <c r="C27" s="72"/>
      <c r="D27" s="72"/>
      <c r="E27" s="72"/>
      <c r="F27" s="72"/>
      <c r="G27" s="72"/>
    </row>
    <row r="28" spans="1:7">
      <c r="A28" s="72"/>
      <c r="B28" s="72"/>
      <c r="C28" s="72"/>
      <c r="D28" s="72"/>
      <c r="E28" s="72"/>
      <c r="F28" s="72"/>
      <c r="G28" s="72"/>
    </row>
    <row r="29" spans="1:7">
      <c r="A29" s="72"/>
      <c r="B29" s="72"/>
      <c r="C29" s="72"/>
      <c r="D29" s="72"/>
      <c r="E29" s="72"/>
      <c r="F29" s="72"/>
      <c r="G29" s="72"/>
    </row>
  </sheetData>
  <mergeCells count="5">
    <mergeCell ref="A3:G3"/>
    <mergeCell ref="A5:G5"/>
    <mergeCell ref="B1:G1"/>
    <mergeCell ref="C24:F24"/>
    <mergeCell ref="A20:D20"/>
  </mergeCells>
  <phoneticPr fontId="24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I166"/>
  <sheetViews>
    <sheetView zoomScale="120" zoomScaleNormal="120" zoomScaleSheetLayoutView="100" workbookViewId="0">
      <selection activeCell="C5" sqref="C5"/>
    </sheetView>
  </sheetViews>
  <sheetFormatPr defaultRowHeight="15.75"/>
  <cols>
    <col min="1" max="1" width="9.5" style="173" customWidth="1"/>
    <col min="2" max="2" width="65.83203125" style="173" customWidth="1"/>
    <col min="3" max="3" width="17.83203125" style="174" customWidth="1"/>
    <col min="4" max="5" width="17.83203125" style="195" customWidth="1"/>
    <col min="6" max="16384" width="9.33203125" style="195"/>
  </cols>
  <sheetData>
    <row r="1" spans="1:5">
      <c r="A1" s="401"/>
      <c r="B1" s="477" t="str">
        <f>CONCATENATE("1.4. melléklet ",IB_ALAPADATOK!A7," ",IB_ALAPADATOK!B7," ",IB_ALAPADATOK!C7," ",IB_ALAPADATOK!D7)</f>
        <v xml:space="preserve">1.4. melléklet a 7/2019.(X.09.)  önkormányzati rendelethez </v>
      </c>
      <c r="C1" s="478"/>
      <c r="D1" s="478"/>
      <c r="E1" s="478"/>
    </row>
    <row r="2" spans="1:5">
      <c r="A2" s="479" t="str">
        <f>CONCATENATE(IB_ALAPADATOK!A3)</f>
        <v>BORSODNÁDASD VÁROS ÖNKORMÁNYZATA</v>
      </c>
      <c r="B2" s="480"/>
      <c r="C2" s="480"/>
      <c r="D2" s="480"/>
      <c r="E2" s="480"/>
    </row>
    <row r="3" spans="1:5">
      <c r="A3" s="479" t="str">
        <f>CONCATENATE("Tájékoztatató a ",IB_ALAPADATOK!B7," évi költségvetés  ",IB_ALAPADATOK!C8," alakulásáról")</f>
        <v>Tájékoztatató a 7/2019.(X.09.) évi költségvetés  III. negyedéves alakulásáról</v>
      </c>
      <c r="B3" s="479"/>
      <c r="C3" s="481"/>
      <c r="D3" s="479"/>
      <c r="E3" s="479"/>
    </row>
    <row r="4" spans="1:5">
      <c r="A4" s="479" t="s">
        <v>606</v>
      </c>
      <c r="B4" s="479"/>
      <c r="C4" s="481"/>
      <c r="D4" s="479"/>
      <c r="E4" s="479"/>
    </row>
    <row r="5" spans="1:5">
      <c r="A5" s="401"/>
      <c r="B5" s="401"/>
      <c r="C5" s="402"/>
      <c r="D5" s="403"/>
      <c r="E5" s="403"/>
    </row>
    <row r="6" spans="1:5" ht="15.95" customHeight="1">
      <c r="A6" s="491" t="s">
        <v>6</v>
      </c>
      <c r="B6" s="491"/>
      <c r="C6" s="491"/>
      <c r="D6" s="491"/>
      <c r="E6" s="491"/>
    </row>
    <row r="7" spans="1:5" ht="15.95" customHeight="1" thickBot="1">
      <c r="A7" s="493" t="s">
        <v>106</v>
      </c>
      <c r="B7" s="493"/>
      <c r="C7" s="404"/>
      <c r="D7" s="403"/>
      <c r="E7" s="404" t="str">
        <f>CONCATENATE('1.3.sz.mell.'!E7)</f>
        <v xml:space="preserve"> Forintban!</v>
      </c>
    </row>
    <row r="8" spans="1:5">
      <c r="A8" s="483" t="s">
        <v>55</v>
      </c>
      <c r="B8" s="485" t="s">
        <v>8</v>
      </c>
      <c r="C8" s="487" t="str">
        <f>+CONCATENATE(LEFT(IB_ÖSSZEFÜGGÉSEK!A6,4),". évi")</f>
        <v>2019. évi</v>
      </c>
      <c r="D8" s="488"/>
      <c r="E8" s="489"/>
    </row>
    <row r="9" spans="1:5" ht="24.75" thickBot="1">
      <c r="A9" s="484"/>
      <c r="B9" s="486"/>
      <c r="C9" s="270" t="s">
        <v>437</v>
      </c>
      <c r="D9" s="269" t="s">
        <v>438</v>
      </c>
      <c r="E9" s="390" t="str">
        <f>+CONCATENATE(LEFT(IB_ÖSSZEFÜGGÉSEK!A6,4),". VI. 30.",CHAR(10),"teljesítés")</f>
        <v>2019. VI. 30.
teljesítés</v>
      </c>
    </row>
    <row r="10" spans="1:5" s="196" customFormat="1" ht="12" customHeight="1" thickBot="1">
      <c r="A10" s="192" t="s">
        <v>404</v>
      </c>
      <c r="B10" s="193" t="s">
        <v>405</v>
      </c>
      <c r="C10" s="193" t="s">
        <v>406</v>
      </c>
      <c r="D10" s="193" t="s">
        <v>408</v>
      </c>
      <c r="E10" s="271" t="s">
        <v>407</v>
      </c>
    </row>
    <row r="11" spans="1:5" s="197" customFormat="1" ht="12" customHeight="1" thickBot="1">
      <c r="A11" s="18" t="s">
        <v>9</v>
      </c>
      <c r="B11" s="19" t="s">
        <v>175</v>
      </c>
      <c r="C11" s="185">
        <f>+C12+C13+C14+C15+C16+C17</f>
        <v>0</v>
      </c>
      <c r="D11" s="185">
        <f>+D12+D13+D14+D15+D16+D17</f>
        <v>0</v>
      </c>
      <c r="E11" s="121">
        <f>+E12+E13+E14+E15+E16+E17</f>
        <v>0</v>
      </c>
    </row>
    <row r="12" spans="1:5" s="197" customFormat="1" ht="12" customHeight="1">
      <c r="A12" s="13" t="s">
        <v>67</v>
      </c>
      <c r="B12" s="198" t="s">
        <v>176</v>
      </c>
      <c r="C12" s="187"/>
      <c r="D12" s="187"/>
      <c r="E12" s="123"/>
    </row>
    <row r="13" spans="1:5" s="197" customFormat="1" ht="12" customHeight="1">
      <c r="A13" s="12" t="s">
        <v>68</v>
      </c>
      <c r="B13" s="199" t="s">
        <v>177</v>
      </c>
      <c r="C13" s="186"/>
      <c r="D13" s="186"/>
      <c r="E13" s="122"/>
    </row>
    <row r="14" spans="1:5" s="197" customFormat="1" ht="12" customHeight="1">
      <c r="A14" s="12" t="s">
        <v>69</v>
      </c>
      <c r="B14" s="199" t="s">
        <v>178</v>
      </c>
      <c r="C14" s="186"/>
      <c r="D14" s="186"/>
      <c r="E14" s="122"/>
    </row>
    <row r="15" spans="1:5" s="197" customFormat="1" ht="12" customHeight="1">
      <c r="A15" s="12" t="s">
        <v>70</v>
      </c>
      <c r="B15" s="199" t="s">
        <v>179</v>
      </c>
      <c r="C15" s="186"/>
      <c r="D15" s="186"/>
      <c r="E15" s="122"/>
    </row>
    <row r="16" spans="1:5" s="197" customFormat="1" ht="12" customHeight="1">
      <c r="A16" s="12" t="s">
        <v>102</v>
      </c>
      <c r="B16" s="129" t="s">
        <v>349</v>
      </c>
      <c r="C16" s="186"/>
      <c r="D16" s="186"/>
      <c r="E16" s="122"/>
    </row>
    <row r="17" spans="1:5" s="197" customFormat="1" ht="12" customHeight="1" thickBot="1">
      <c r="A17" s="14" t="s">
        <v>71</v>
      </c>
      <c r="B17" s="130" t="s">
        <v>350</v>
      </c>
      <c r="C17" s="186"/>
      <c r="D17" s="186"/>
      <c r="E17" s="122"/>
    </row>
    <row r="18" spans="1:5" s="197" customFormat="1" ht="12" customHeight="1" thickBot="1">
      <c r="A18" s="18" t="s">
        <v>10</v>
      </c>
      <c r="B18" s="128" t="s">
        <v>180</v>
      </c>
      <c r="C18" s="185">
        <f>+C19+C20+C21+C22+C23</f>
        <v>0</v>
      </c>
      <c r="D18" s="185">
        <f>+D19+D20+D21+D22+D23</f>
        <v>0</v>
      </c>
      <c r="E18" s="121">
        <f>+E19+E20+E21+E22+E23</f>
        <v>0</v>
      </c>
    </row>
    <row r="19" spans="1:5" s="197" customFormat="1" ht="12" customHeight="1">
      <c r="A19" s="13" t="s">
        <v>73</v>
      </c>
      <c r="B19" s="198" t="s">
        <v>181</v>
      </c>
      <c r="C19" s="187"/>
      <c r="D19" s="187"/>
      <c r="E19" s="123"/>
    </row>
    <row r="20" spans="1:5" s="197" customFormat="1" ht="12" customHeight="1">
      <c r="A20" s="12" t="s">
        <v>74</v>
      </c>
      <c r="B20" s="199" t="s">
        <v>182</v>
      </c>
      <c r="C20" s="186"/>
      <c r="D20" s="186"/>
      <c r="E20" s="122"/>
    </row>
    <row r="21" spans="1:5" s="197" customFormat="1" ht="12" customHeight="1">
      <c r="A21" s="12" t="s">
        <v>75</v>
      </c>
      <c r="B21" s="199" t="s">
        <v>341</v>
      </c>
      <c r="C21" s="186"/>
      <c r="D21" s="186"/>
      <c r="E21" s="122"/>
    </row>
    <row r="22" spans="1:5" s="197" customFormat="1" ht="12" customHeight="1">
      <c r="A22" s="12" t="s">
        <v>76</v>
      </c>
      <c r="B22" s="199" t="s">
        <v>342</v>
      </c>
      <c r="C22" s="186"/>
      <c r="D22" s="186"/>
      <c r="E22" s="122"/>
    </row>
    <row r="23" spans="1:5" s="197" customFormat="1" ht="12" customHeight="1">
      <c r="A23" s="12" t="s">
        <v>77</v>
      </c>
      <c r="B23" s="199" t="s">
        <v>183</v>
      </c>
      <c r="C23" s="186"/>
      <c r="D23" s="186"/>
      <c r="E23" s="122"/>
    </row>
    <row r="24" spans="1:5" s="197" customFormat="1" ht="12" customHeight="1" thickBot="1">
      <c r="A24" s="14" t="s">
        <v>84</v>
      </c>
      <c r="B24" s="130" t="s">
        <v>184</v>
      </c>
      <c r="C24" s="188"/>
      <c r="D24" s="188"/>
      <c r="E24" s="124"/>
    </row>
    <row r="25" spans="1:5" s="197" customFormat="1" ht="12" customHeight="1" thickBot="1">
      <c r="A25" s="18" t="s">
        <v>11</v>
      </c>
      <c r="B25" s="19" t="s">
        <v>185</v>
      </c>
      <c r="C25" s="185">
        <f>+C26+C27+C28+C29+C30</f>
        <v>0</v>
      </c>
      <c r="D25" s="185">
        <f>+D26+D27+D28+D29+D30</f>
        <v>0</v>
      </c>
      <c r="E25" s="121">
        <f>+E26+E27+E28+E29+E30</f>
        <v>0</v>
      </c>
    </row>
    <row r="26" spans="1:5" s="197" customFormat="1" ht="12" customHeight="1">
      <c r="A26" s="13" t="s">
        <v>56</v>
      </c>
      <c r="B26" s="198" t="s">
        <v>186</v>
      </c>
      <c r="C26" s="187"/>
      <c r="D26" s="187"/>
      <c r="E26" s="123"/>
    </row>
    <row r="27" spans="1:5" s="197" customFormat="1" ht="12" customHeight="1">
      <c r="A27" s="12" t="s">
        <v>57</v>
      </c>
      <c r="B27" s="199" t="s">
        <v>187</v>
      </c>
      <c r="C27" s="186"/>
      <c r="D27" s="186"/>
      <c r="E27" s="122"/>
    </row>
    <row r="28" spans="1:5" s="197" customFormat="1" ht="12" customHeight="1">
      <c r="A28" s="12" t="s">
        <v>58</v>
      </c>
      <c r="B28" s="199" t="s">
        <v>343</v>
      </c>
      <c r="C28" s="186"/>
      <c r="D28" s="186"/>
      <c r="E28" s="122"/>
    </row>
    <row r="29" spans="1:5" s="197" customFormat="1" ht="12" customHeight="1">
      <c r="A29" s="12" t="s">
        <v>59</v>
      </c>
      <c r="B29" s="199" t="s">
        <v>344</v>
      </c>
      <c r="C29" s="186"/>
      <c r="D29" s="186"/>
      <c r="E29" s="122"/>
    </row>
    <row r="30" spans="1:5" s="197" customFormat="1" ht="12" customHeight="1">
      <c r="A30" s="12" t="s">
        <v>116</v>
      </c>
      <c r="B30" s="199" t="s">
        <v>188</v>
      </c>
      <c r="C30" s="186"/>
      <c r="D30" s="186"/>
      <c r="E30" s="122"/>
    </row>
    <row r="31" spans="1:5" s="197" customFormat="1" ht="12" customHeight="1" thickBot="1">
      <c r="A31" s="14" t="s">
        <v>117</v>
      </c>
      <c r="B31" s="200" t="s">
        <v>189</v>
      </c>
      <c r="C31" s="188"/>
      <c r="D31" s="188"/>
      <c r="E31" s="124"/>
    </row>
    <row r="32" spans="1:5" s="197" customFormat="1" ht="12" customHeight="1" thickBot="1">
      <c r="A32" s="18" t="s">
        <v>118</v>
      </c>
      <c r="B32" s="19" t="s">
        <v>502</v>
      </c>
      <c r="C32" s="191">
        <f>SUM(C33:C39)</f>
        <v>16102500</v>
      </c>
      <c r="D32" s="191">
        <f>SUM(D33:D39)</f>
        <v>16102500</v>
      </c>
      <c r="E32" s="227">
        <f>SUM(E33:E39)</f>
        <v>8012839</v>
      </c>
    </row>
    <row r="33" spans="1:5" s="197" customFormat="1" ht="12" customHeight="1">
      <c r="A33" s="13" t="s">
        <v>190</v>
      </c>
      <c r="B33" s="198" t="s">
        <v>503</v>
      </c>
      <c r="C33" s="187"/>
      <c r="D33" s="187"/>
      <c r="E33" s="123"/>
    </row>
    <row r="34" spans="1:5" s="197" customFormat="1" ht="12" customHeight="1">
      <c r="A34" s="12" t="s">
        <v>191</v>
      </c>
      <c r="B34" s="199" t="s">
        <v>504</v>
      </c>
      <c r="C34" s="186"/>
      <c r="D34" s="186"/>
      <c r="E34" s="122"/>
    </row>
    <row r="35" spans="1:5" s="197" customFormat="1" ht="12" customHeight="1">
      <c r="A35" s="12" t="s">
        <v>192</v>
      </c>
      <c r="B35" s="199" t="s">
        <v>505</v>
      </c>
      <c r="C35" s="186">
        <v>11349000</v>
      </c>
      <c r="D35" s="186">
        <v>11349000</v>
      </c>
      <c r="E35" s="122">
        <v>6733478</v>
      </c>
    </row>
    <row r="36" spans="1:5" s="197" customFormat="1" ht="12" customHeight="1">
      <c r="A36" s="12" t="s">
        <v>193</v>
      </c>
      <c r="B36" s="199" t="s">
        <v>506</v>
      </c>
      <c r="C36" s="186"/>
      <c r="D36" s="186"/>
      <c r="E36" s="122"/>
    </row>
    <row r="37" spans="1:5" s="197" customFormat="1" ht="12" customHeight="1">
      <c r="A37" s="12" t="s">
        <v>507</v>
      </c>
      <c r="B37" s="199" t="s">
        <v>194</v>
      </c>
      <c r="C37" s="186">
        <v>4753500</v>
      </c>
      <c r="D37" s="186">
        <v>4753500</v>
      </c>
      <c r="E37" s="122">
        <v>1279361</v>
      </c>
    </row>
    <row r="38" spans="1:5" s="197" customFormat="1" ht="12" customHeight="1">
      <c r="A38" s="12" t="s">
        <v>508</v>
      </c>
      <c r="B38" s="199" t="s">
        <v>596</v>
      </c>
      <c r="C38" s="186"/>
      <c r="D38" s="186"/>
      <c r="E38" s="122"/>
    </row>
    <row r="39" spans="1:5" s="197" customFormat="1" ht="12" customHeight="1" thickBot="1">
      <c r="A39" s="14" t="s">
        <v>509</v>
      </c>
      <c r="B39" s="349" t="s">
        <v>195</v>
      </c>
      <c r="C39" s="188"/>
      <c r="D39" s="188"/>
      <c r="E39" s="124"/>
    </row>
    <row r="40" spans="1:5" s="197" customFormat="1" ht="12" customHeight="1" thickBot="1">
      <c r="A40" s="18" t="s">
        <v>13</v>
      </c>
      <c r="B40" s="19" t="s">
        <v>351</v>
      </c>
      <c r="C40" s="185">
        <f>SUM(C41:C51)</f>
        <v>0</v>
      </c>
      <c r="D40" s="185">
        <f>SUM(D41:D51)</f>
        <v>0</v>
      </c>
      <c r="E40" s="121">
        <f>SUM(E41:E51)</f>
        <v>0</v>
      </c>
    </row>
    <row r="41" spans="1:5" s="197" customFormat="1" ht="12" customHeight="1">
      <c r="A41" s="13" t="s">
        <v>60</v>
      </c>
      <c r="B41" s="198" t="s">
        <v>198</v>
      </c>
      <c r="C41" s="187"/>
      <c r="D41" s="187"/>
      <c r="E41" s="123"/>
    </row>
    <row r="42" spans="1:5" s="197" customFormat="1" ht="12" customHeight="1">
      <c r="A42" s="12" t="s">
        <v>61</v>
      </c>
      <c r="B42" s="199" t="s">
        <v>199</v>
      </c>
      <c r="C42" s="186"/>
      <c r="D42" s="186"/>
      <c r="E42" s="122"/>
    </row>
    <row r="43" spans="1:5" s="197" customFormat="1" ht="12" customHeight="1">
      <c r="A43" s="12" t="s">
        <v>62</v>
      </c>
      <c r="B43" s="199" t="s">
        <v>200</v>
      </c>
      <c r="C43" s="186"/>
      <c r="D43" s="186"/>
      <c r="E43" s="122"/>
    </row>
    <row r="44" spans="1:5" s="197" customFormat="1" ht="12" customHeight="1">
      <c r="A44" s="12" t="s">
        <v>120</v>
      </c>
      <c r="B44" s="199" t="s">
        <v>201</v>
      </c>
      <c r="C44" s="186"/>
      <c r="D44" s="186"/>
      <c r="E44" s="122"/>
    </row>
    <row r="45" spans="1:5" s="197" customFormat="1" ht="12" customHeight="1">
      <c r="A45" s="12" t="s">
        <v>121</v>
      </c>
      <c r="B45" s="199" t="s">
        <v>202</v>
      </c>
      <c r="C45" s="186"/>
      <c r="D45" s="186"/>
      <c r="E45" s="122"/>
    </row>
    <row r="46" spans="1:5" s="197" customFormat="1" ht="12" customHeight="1">
      <c r="A46" s="12" t="s">
        <v>122</v>
      </c>
      <c r="B46" s="199" t="s">
        <v>203</v>
      </c>
      <c r="C46" s="186"/>
      <c r="D46" s="186"/>
      <c r="E46" s="122"/>
    </row>
    <row r="47" spans="1:5" s="197" customFormat="1" ht="12" customHeight="1">
      <c r="A47" s="12" t="s">
        <v>123</v>
      </c>
      <c r="B47" s="199" t="s">
        <v>204</v>
      </c>
      <c r="C47" s="186"/>
      <c r="D47" s="186"/>
      <c r="E47" s="122"/>
    </row>
    <row r="48" spans="1:5" s="197" customFormat="1" ht="12" customHeight="1">
      <c r="A48" s="12" t="s">
        <v>124</v>
      </c>
      <c r="B48" s="199" t="s">
        <v>510</v>
      </c>
      <c r="C48" s="186"/>
      <c r="D48" s="186"/>
      <c r="E48" s="122"/>
    </row>
    <row r="49" spans="1:5" s="197" customFormat="1" ht="12" customHeight="1">
      <c r="A49" s="12" t="s">
        <v>196</v>
      </c>
      <c r="B49" s="199" t="s">
        <v>206</v>
      </c>
      <c r="C49" s="189"/>
      <c r="D49" s="189"/>
      <c r="E49" s="125"/>
    </row>
    <row r="50" spans="1:5" s="197" customFormat="1" ht="12" customHeight="1">
      <c r="A50" s="14" t="s">
        <v>197</v>
      </c>
      <c r="B50" s="200" t="s">
        <v>353</v>
      </c>
      <c r="C50" s="190"/>
      <c r="D50" s="190"/>
      <c r="E50" s="126"/>
    </row>
    <row r="51" spans="1:5" s="197" customFormat="1" ht="12" customHeight="1" thickBot="1">
      <c r="A51" s="14" t="s">
        <v>352</v>
      </c>
      <c r="B51" s="130" t="s">
        <v>207</v>
      </c>
      <c r="C51" s="190"/>
      <c r="D51" s="190"/>
      <c r="E51" s="126"/>
    </row>
    <row r="52" spans="1:5" s="197" customFormat="1" ht="12" customHeight="1" thickBot="1">
      <c r="A52" s="18" t="s">
        <v>14</v>
      </c>
      <c r="B52" s="19" t="s">
        <v>208</v>
      </c>
      <c r="C52" s="185">
        <f>SUM(C53:C57)</f>
        <v>0</v>
      </c>
      <c r="D52" s="185">
        <f>SUM(D53:D57)</f>
        <v>0</v>
      </c>
      <c r="E52" s="121">
        <f>SUM(E53:E57)</f>
        <v>0</v>
      </c>
    </row>
    <row r="53" spans="1:5" s="197" customFormat="1" ht="12" customHeight="1">
      <c r="A53" s="13" t="s">
        <v>63</v>
      </c>
      <c r="B53" s="198" t="s">
        <v>212</v>
      </c>
      <c r="C53" s="238"/>
      <c r="D53" s="238"/>
      <c r="E53" s="127"/>
    </row>
    <row r="54" spans="1:5" s="197" customFormat="1" ht="12" customHeight="1">
      <c r="A54" s="12" t="s">
        <v>64</v>
      </c>
      <c r="B54" s="199" t="s">
        <v>213</v>
      </c>
      <c r="C54" s="189"/>
      <c r="D54" s="189"/>
      <c r="E54" s="125"/>
    </row>
    <row r="55" spans="1:5" s="197" customFormat="1" ht="12" customHeight="1">
      <c r="A55" s="12" t="s">
        <v>209</v>
      </c>
      <c r="B55" s="199" t="s">
        <v>214</v>
      </c>
      <c r="C55" s="189"/>
      <c r="D55" s="189"/>
      <c r="E55" s="125"/>
    </row>
    <row r="56" spans="1:5" s="197" customFormat="1" ht="12" customHeight="1">
      <c r="A56" s="12" t="s">
        <v>210</v>
      </c>
      <c r="B56" s="199" t="s">
        <v>215</v>
      </c>
      <c r="C56" s="189"/>
      <c r="D56" s="189"/>
      <c r="E56" s="125"/>
    </row>
    <row r="57" spans="1:5" s="197" customFormat="1" ht="12" customHeight="1" thickBot="1">
      <c r="A57" s="14" t="s">
        <v>211</v>
      </c>
      <c r="B57" s="130" t="s">
        <v>216</v>
      </c>
      <c r="C57" s="190"/>
      <c r="D57" s="190"/>
      <c r="E57" s="126"/>
    </row>
    <row r="58" spans="1:5" s="197" customFormat="1" ht="12" customHeight="1" thickBot="1">
      <c r="A58" s="18" t="s">
        <v>125</v>
      </c>
      <c r="B58" s="19" t="s">
        <v>217</v>
      </c>
      <c r="C58" s="185">
        <f>SUM(C59:C61)</f>
        <v>0</v>
      </c>
      <c r="D58" s="185">
        <f>SUM(D59:D61)</f>
        <v>0</v>
      </c>
      <c r="E58" s="121">
        <f>SUM(E59:E61)</f>
        <v>0</v>
      </c>
    </row>
    <row r="59" spans="1:5" s="197" customFormat="1" ht="12" customHeight="1">
      <c r="A59" s="13" t="s">
        <v>65</v>
      </c>
      <c r="B59" s="198" t="s">
        <v>218</v>
      </c>
      <c r="C59" s="187"/>
      <c r="D59" s="187"/>
      <c r="E59" s="123"/>
    </row>
    <row r="60" spans="1:5" s="197" customFormat="1" ht="12" customHeight="1">
      <c r="A60" s="12" t="s">
        <v>66</v>
      </c>
      <c r="B60" s="199" t="s">
        <v>345</v>
      </c>
      <c r="C60" s="186"/>
      <c r="D60" s="186"/>
      <c r="E60" s="122"/>
    </row>
    <row r="61" spans="1:5" s="197" customFormat="1" ht="12" customHeight="1">
      <c r="A61" s="12" t="s">
        <v>221</v>
      </c>
      <c r="B61" s="199" t="s">
        <v>219</v>
      </c>
      <c r="C61" s="186"/>
      <c r="D61" s="186"/>
      <c r="E61" s="122"/>
    </row>
    <row r="62" spans="1:5" s="197" customFormat="1" ht="12" customHeight="1" thickBot="1">
      <c r="A62" s="14" t="s">
        <v>222</v>
      </c>
      <c r="B62" s="130" t="s">
        <v>220</v>
      </c>
      <c r="C62" s="188"/>
      <c r="D62" s="188"/>
      <c r="E62" s="124"/>
    </row>
    <row r="63" spans="1:5" s="197" customFormat="1" ht="12" customHeight="1" thickBot="1">
      <c r="A63" s="18" t="s">
        <v>16</v>
      </c>
      <c r="B63" s="128" t="s">
        <v>223</v>
      </c>
      <c r="C63" s="185">
        <f>SUM(C64:C66)</f>
        <v>0</v>
      </c>
      <c r="D63" s="185">
        <f>SUM(D64:D66)</f>
        <v>0</v>
      </c>
      <c r="E63" s="121">
        <f>SUM(E64:E66)</f>
        <v>0</v>
      </c>
    </row>
    <row r="64" spans="1:5" s="197" customFormat="1" ht="12" customHeight="1">
      <c r="A64" s="13" t="s">
        <v>126</v>
      </c>
      <c r="B64" s="198" t="s">
        <v>225</v>
      </c>
      <c r="C64" s="189"/>
      <c r="D64" s="189"/>
      <c r="E64" s="125"/>
    </row>
    <row r="65" spans="1:5" s="197" customFormat="1" ht="12" customHeight="1">
      <c r="A65" s="12" t="s">
        <v>127</v>
      </c>
      <c r="B65" s="199" t="s">
        <v>346</v>
      </c>
      <c r="C65" s="189"/>
      <c r="D65" s="189"/>
      <c r="E65" s="125"/>
    </row>
    <row r="66" spans="1:5" s="197" customFormat="1" ht="12" customHeight="1">
      <c r="A66" s="12" t="s">
        <v>158</v>
      </c>
      <c r="B66" s="199" t="s">
        <v>226</v>
      </c>
      <c r="C66" s="189"/>
      <c r="D66" s="189"/>
      <c r="E66" s="125"/>
    </row>
    <row r="67" spans="1:5" s="197" customFormat="1" ht="12" customHeight="1" thickBot="1">
      <c r="A67" s="14" t="s">
        <v>224</v>
      </c>
      <c r="B67" s="130" t="s">
        <v>227</v>
      </c>
      <c r="C67" s="189"/>
      <c r="D67" s="189"/>
      <c r="E67" s="125"/>
    </row>
    <row r="68" spans="1:5" s="197" customFormat="1" ht="12" customHeight="1" thickBot="1">
      <c r="A68" s="253" t="s">
        <v>393</v>
      </c>
      <c r="B68" s="19" t="s">
        <v>228</v>
      </c>
      <c r="C68" s="191">
        <f>+C11+C18+C25+C32+C40+C52+C58+C63</f>
        <v>16102500</v>
      </c>
      <c r="D68" s="191">
        <f>+D11+D18+D25+D32+D40+D52+D58+D63</f>
        <v>16102500</v>
      </c>
      <c r="E68" s="227">
        <f>+E11+E18+E25+E32+E40+E52+E58+E63</f>
        <v>8012839</v>
      </c>
    </row>
    <row r="69" spans="1:5" s="197" customFormat="1" ht="12" customHeight="1" thickBot="1">
      <c r="A69" s="239" t="s">
        <v>229</v>
      </c>
      <c r="B69" s="128" t="s">
        <v>230</v>
      </c>
      <c r="C69" s="185">
        <f>SUM(C70:C72)</f>
        <v>0</v>
      </c>
      <c r="D69" s="185">
        <f>SUM(D70:D72)</f>
        <v>0</v>
      </c>
      <c r="E69" s="121">
        <f>SUM(E70:E72)</f>
        <v>0</v>
      </c>
    </row>
    <row r="70" spans="1:5" s="197" customFormat="1" ht="12" customHeight="1">
      <c r="A70" s="13" t="s">
        <v>258</v>
      </c>
      <c r="B70" s="198" t="s">
        <v>231</v>
      </c>
      <c r="C70" s="189"/>
      <c r="D70" s="189"/>
      <c r="E70" s="125"/>
    </row>
    <row r="71" spans="1:5" s="197" customFormat="1" ht="12" customHeight="1">
      <c r="A71" s="12" t="s">
        <v>267</v>
      </c>
      <c r="B71" s="199" t="s">
        <v>232</v>
      </c>
      <c r="C71" s="189"/>
      <c r="D71" s="189"/>
      <c r="E71" s="125"/>
    </row>
    <row r="72" spans="1:5" s="197" customFormat="1" ht="12" customHeight="1" thickBot="1">
      <c r="A72" s="14" t="s">
        <v>268</v>
      </c>
      <c r="B72" s="249" t="s">
        <v>378</v>
      </c>
      <c r="C72" s="189"/>
      <c r="D72" s="189"/>
      <c r="E72" s="125"/>
    </row>
    <row r="73" spans="1:5" s="197" customFormat="1" ht="12" customHeight="1" thickBot="1">
      <c r="A73" s="239" t="s">
        <v>234</v>
      </c>
      <c r="B73" s="128" t="s">
        <v>235</v>
      </c>
      <c r="C73" s="185">
        <f>SUM(C74:C77)</f>
        <v>0</v>
      </c>
      <c r="D73" s="185">
        <f>SUM(D74:D77)</f>
        <v>0</v>
      </c>
      <c r="E73" s="121">
        <f>SUM(E74:E77)</f>
        <v>0</v>
      </c>
    </row>
    <row r="74" spans="1:5" s="197" customFormat="1" ht="12" customHeight="1">
      <c r="A74" s="13" t="s">
        <v>103</v>
      </c>
      <c r="B74" s="388" t="s">
        <v>236</v>
      </c>
      <c r="C74" s="189"/>
      <c r="D74" s="189"/>
      <c r="E74" s="125"/>
    </row>
    <row r="75" spans="1:5" s="197" customFormat="1" ht="12" customHeight="1">
      <c r="A75" s="12" t="s">
        <v>104</v>
      </c>
      <c r="B75" s="388" t="s">
        <v>517</v>
      </c>
      <c r="C75" s="189"/>
      <c r="D75" s="189"/>
      <c r="E75" s="125"/>
    </row>
    <row r="76" spans="1:5" s="197" customFormat="1" ht="12" customHeight="1">
      <c r="A76" s="12" t="s">
        <v>259</v>
      </c>
      <c r="B76" s="388" t="s">
        <v>237</v>
      </c>
      <c r="C76" s="189"/>
      <c r="D76" s="189"/>
      <c r="E76" s="125"/>
    </row>
    <row r="77" spans="1:5" s="197" customFormat="1" ht="12" customHeight="1" thickBot="1">
      <c r="A77" s="14" t="s">
        <v>260</v>
      </c>
      <c r="B77" s="389" t="s">
        <v>518</v>
      </c>
      <c r="C77" s="189"/>
      <c r="D77" s="189"/>
      <c r="E77" s="125"/>
    </row>
    <row r="78" spans="1:5" s="197" customFormat="1" ht="12" customHeight="1" thickBot="1">
      <c r="A78" s="239" t="s">
        <v>238</v>
      </c>
      <c r="B78" s="128" t="s">
        <v>239</v>
      </c>
      <c r="C78" s="185">
        <f>SUM(C79:C80)</f>
        <v>0</v>
      </c>
      <c r="D78" s="185">
        <f>SUM(D79:D80)</f>
        <v>0</v>
      </c>
      <c r="E78" s="121">
        <f>SUM(E79:E80)</f>
        <v>0</v>
      </c>
    </row>
    <row r="79" spans="1:5" s="197" customFormat="1" ht="12" customHeight="1">
      <c r="A79" s="13" t="s">
        <v>261</v>
      </c>
      <c r="B79" s="198" t="s">
        <v>240</v>
      </c>
      <c r="C79" s="189"/>
      <c r="D79" s="189"/>
      <c r="E79" s="125"/>
    </row>
    <row r="80" spans="1:5" s="197" customFormat="1" ht="12" customHeight="1" thickBot="1">
      <c r="A80" s="14" t="s">
        <v>262</v>
      </c>
      <c r="B80" s="130" t="s">
        <v>241</v>
      </c>
      <c r="C80" s="189"/>
      <c r="D80" s="189"/>
      <c r="E80" s="125"/>
    </row>
    <row r="81" spans="1:5" s="197" customFormat="1" ht="12" customHeight="1" thickBot="1">
      <c r="A81" s="239" t="s">
        <v>242</v>
      </c>
      <c r="B81" s="128" t="s">
        <v>243</v>
      </c>
      <c r="C81" s="185">
        <f>SUM(C82:C84)</f>
        <v>0</v>
      </c>
      <c r="D81" s="185">
        <f>SUM(D82:D84)</f>
        <v>0</v>
      </c>
      <c r="E81" s="121">
        <f>SUM(E82:E84)</f>
        <v>0</v>
      </c>
    </row>
    <row r="82" spans="1:5" s="197" customFormat="1" ht="12" customHeight="1">
      <c r="A82" s="13" t="s">
        <v>263</v>
      </c>
      <c r="B82" s="198" t="s">
        <v>244</v>
      </c>
      <c r="C82" s="189"/>
      <c r="D82" s="189"/>
      <c r="E82" s="125"/>
    </row>
    <row r="83" spans="1:5" s="197" customFormat="1" ht="12" customHeight="1">
      <c r="A83" s="12" t="s">
        <v>264</v>
      </c>
      <c r="B83" s="199" t="s">
        <v>245</v>
      </c>
      <c r="C83" s="189"/>
      <c r="D83" s="189"/>
      <c r="E83" s="125"/>
    </row>
    <row r="84" spans="1:5" s="197" customFormat="1" ht="12" customHeight="1" thickBot="1">
      <c r="A84" s="14" t="s">
        <v>265</v>
      </c>
      <c r="B84" s="130" t="s">
        <v>519</v>
      </c>
      <c r="C84" s="189"/>
      <c r="D84" s="189"/>
      <c r="E84" s="125"/>
    </row>
    <row r="85" spans="1:5" s="197" customFormat="1" ht="12" customHeight="1" thickBot="1">
      <c r="A85" s="239" t="s">
        <v>246</v>
      </c>
      <c r="B85" s="128" t="s">
        <v>266</v>
      </c>
      <c r="C85" s="185">
        <f>SUM(C86:C89)</f>
        <v>0</v>
      </c>
      <c r="D85" s="185">
        <f>SUM(D86:D89)</f>
        <v>0</v>
      </c>
      <c r="E85" s="121">
        <f>SUM(E86:E89)</f>
        <v>0</v>
      </c>
    </row>
    <row r="86" spans="1:5" s="197" customFormat="1" ht="12" customHeight="1">
      <c r="A86" s="202" t="s">
        <v>247</v>
      </c>
      <c r="B86" s="198" t="s">
        <v>248</v>
      </c>
      <c r="C86" s="189"/>
      <c r="D86" s="189"/>
      <c r="E86" s="125"/>
    </row>
    <row r="87" spans="1:5" s="197" customFormat="1" ht="12" customHeight="1">
      <c r="A87" s="203" t="s">
        <v>249</v>
      </c>
      <c r="B87" s="199" t="s">
        <v>250</v>
      </c>
      <c r="C87" s="189"/>
      <c r="D87" s="189"/>
      <c r="E87" s="125"/>
    </row>
    <row r="88" spans="1:5" s="197" customFormat="1" ht="12" customHeight="1">
      <c r="A88" s="203" t="s">
        <v>251</v>
      </c>
      <c r="B88" s="199" t="s">
        <v>252</v>
      </c>
      <c r="C88" s="189"/>
      <c r="D88" s="189"/>
      <c r="E88" s="125"/>
    </row>
    <row r="89" spans="1:5" s="197" customFormat="1" ht="12" customHeight="1" thickBot="1">
      <c r="A89" s="204" t="s">
        <v>253</v>
      </c>
      <c r="B89" s="130" t="s">
        <v>254</v>
      </c>
      <c r="C89" s="189"/>
      <c r="D89" s="189"/>
      <c r="E89" s="125"/>
    </row>
    <row r="90" spans="1:5" s="197" customFormat="1" ht="12" customHeight="1" thickBot="1">
      <c r="A90" s="239" t="s">
        <v>255</v>
      </c>
      <c r="B90" s="128" t="s">
        <v>392</v>
      </c>
      <c r="C90" s="241"/>
      <c r="D90" s="241"/>
      <c r="E90" s="242"/>
    </row>
    <row r="91" spans="1:5" s="197" customFormat="1" ht="13.5" customHeight="1" thickBot="1">
      <c r="A91" s="239" t="s">
        <v>257</v>
      </c>
      <c r="B91" s="128" t="s">
        <v>256</v>
      </c>
      <c r="C91" s="241"/>
      <c r="D91" s="241"/>
      <c r="E91" s="242"/>
    </row>
    <row r="92" spans="1:5" s="197" customFormat="1" ht="15.75" customHeight="1" thickBot="1">
      <c r="A92" s="239" t="s">
        <v>269</v>
      </c>
      <c r="B92" s="205" t="s">
        <v>395</v>
      </c>
      <c r="C92" s="191">
        <f>+C69+C73+C78+C81+C85+C91+C90</f>
        <v>0</v>
      </c>
      <c r="D92" s="191">
        <f>+D69+D73+D78+D81+D85+D91+D90</f>
        <v>0</v>
      </c>
      <c r="E92" s="227">
        <f>+E69+E73+E78+E81+E85+E91+E90</f>
        <v>0</v>
      </c>
    </row>
    <row r="93" spans="1:5" s="197" customFormat="1" ht="25.5" customHeight="1" thickBot="1">
      <c r="A93" s="240" t="s">
        <v>394</v>
      </c>
      <c r="B93" s="206" t="s">
        <v>396</v>
      </c>
      <c r="C93" s="191">
        <f>+C68+C92</f>
        <v>16102500</v>
      </c>
      <c r="D93" s="191">
        <f>+D68+D92</f>
        <v>16102500</v>
      </c>
      <c r="E93" s="227">
        <f>+E68+E92</f>
        <v>8012839</v>
      </c>
    </row>
    <row r="94" spans="1:5" s="197" customFormat="1" ht="15.2" customHeight="1">
      <c r="A94" s="3"/>
      <c r="B94" s="4"/>
      <c r="C94" s="132"/>
    </row>
    <row r="95" spans="1:5" ht="16.5" customHeight="1">
      <c r="A95" s="492" t="s">
        <v>37</v>
      </c>
      <c r="B95" s="492"/>
      <c r="C95" s="492"/>
      <c r="D95" s="492"/>
      <c r="E95" s="492"/>
    </row>
    <row r="96" spans="1:5" s="207" customFormat="1" ht="16.5" customHeight="1" thickBot="1">
      <c r="A96" s="494" t="s">
        <v>107</v>
      </c>
      <c r="B96" s="494"/>
      <c r="C96" s="63"/>
      <c r="E96" s="63" t="str">
        <f>E7</f>
        <v xml:space="preserve"> Forintban!</v>
      </c>
    </row>
    <row r="97" spans="1:5">
      <c r="A97" s="483" t="s">
        <v>55</v>
      </c>
      <c r="B97" s="485" t="s">
        <v>439</v>
      </c>
      <c r="C97" s="487" t="str">
        <f>+CONCATENATE(LEFT(IB_ÖSSZEFÜGGÉSEK!A6,4),". évi")</f>
        <v>2019. évi</v>
      </c>
      <c r="D97" s="488"/>
      <c r="E97" s="489"/>
    </row>
    <row r="98" spans="1:5" ht="24.75" thickBot="1">
      <c r="A98" s="484"/>
      <c r="B98" s="486"/>
      <c r="C98" s="270" t="s">
        <v>437</v>
      </c>
      <c r="D98" s="269" t="s">
        <v>438</v>
      </c>
      <c r="E98" s="390" t="str">
        <f>+CONCATENATE(LEFT(IB_ÖSSZEFÜGGÉSEK!A6,4),". VI. 30.",CHAR(10),"teljesítés")</f>
        <v>2019. VI. 30.
teljesítés</v>
      </c>
    </row>
    <row r="99" spans="1:5" s="196" customFormat="1" ht="12" customHeight="1" thickBot="1">
      <c r="A99" s="25" t="s">
        <v>404</v>
      </c>
      <c r="B99" s="26" t="s">
        <v>405</v>
      </c>
      <c r="C99" s="26" t="s">
        <v>406</v>
      </c>
      <c r="D99" s="26" t="s">
        <v>408</v>
      </c>
      <c r="E99" s="281" t="s">
        <v>407</v>
      </c>
    </row>
    <row r="100" spans="1:5" ht="12" customHeight="1" thickBot="1">
      <c r="A100" s="20" t="s">
        <v>9</v>
      </c>
      <c r="B100" s="24" t="s">
        <v>354</v>
      </c>
      <c r="C100" s="184">
        <f>C101+C102+C103+C104+C105+C118</f>
        <v>16102500</v>
      </c>
      <c r="D100" s="184">
        <f>D101+D102+D103+D104+D105+D118</f>
        <v>16102500</v>
      </c>
      <c r="E100" s="256">
        <f>E101+E102+E103+E104+E105+E118</f>
        <v>8012839</v>
      </c>
    </row>
    <row r="101" spans="1:5" ht="12" customHeight="1">
      <c r="A101" s="15" t="s">
        <v>67</v>
      </c>
      <c r="B101" s="8" t="s">
        <v>38</v>
      </c>
      <c r="C101" s="263">
        <v>13568840</v>
      </c>
      <c r="D101" s="263">
        <v>13568840</v>
      </c>
      <c r="E101" s="257">
        <v>6733478</v>
      </c>
    </row>
    <row r="102" spans="1:5" ht="12" customHeight="1">
      <c r="A102" s="12" t="s">
        <v>68</v>
      </c>
      <c r="B102" s="6" t="s">
        <v>128</v>
      </c>
      <c r="C102" s="186">
        <v>2533660</v>
      </c>
      <c r="D102" s="186">
        <v>2533660</v>
      </c>
      <c r="E102" s="122">
        <v>1279361</v>
      </c>
    </row>
    <row r="103" spans="1:5" ht="12" customHeight="1">
      <c r="A103" s="12" t="s">
        <v>69</v>
      </c>
      <c r="B103" s="6" t="s">
        <v>95</v>
      </c>
      <c r="C103" s="188"/>
      <c r="D103" s="188"/>
      <c r="E103" s="124"/>
    </row>
    <row r="104" spans="1:5" ht="12" customHeight="1">
      <c r="A104" s="12" t="s">
        <v>70</v>
      </c>
      <c r="B104" s="9" t="s">
        <v>129</v>
      </c>
      <c r="C104" s="188"/>
      <c r="D104" s="188"/>
      <c r="E104" s="124"/>
    </row>
    <row r="105" spans="1:5" ht="12" customHeight="1">
      <c r="A105" s="12" t="s">
        <v>79</v>
      </c>
      <c r="B105" s="17" t="s">
        <v>130</v>
      </c>
      <c r="C105" s="188"/>
      <c r="D105" s="188"/>
      <c r="E105" s="124"/>
    </row>
    <row r="106" spans="1:5" ht="12" customHeight="1">
      <c r="A106" s="12" t="s">
        <v>71</v>
      </c>
      <c r="B106" s="6" t="s">
        <v>359</v>
      </c>
      <c r="C106" s="188"/>
      <c r="D106" s="188"/>
      <c r="E106" s="124"/>
    </row>
    <row r="107" spans="1:5" ht="12" customHeight="1">
      <c r="A107" s="12" t="s">
        <v>72</v>
      </c>
      <c r="B107" s="67" t="s">
        <v>358</v>
      </c>
      <c r="C107" s="188"/>
      <c r="D107" s="188"/>
      <c r="E107" s="124"/>
    </row>
    <row r="108" spans="1:5" ht="12" customHeight="1">
      <c r="A108" s="12" t="s">
        <v>80</v>
      </c>
      <c r="B108" s="67" t="s">
        <v>357</v>
      </c>
      <c r="C108" s="188"/>
      <c r="D108" s="188"/>
      <c r="E108" s="124"/>
    </row>
    <row r="109" spans="1:5" ht="12" customHeight="1">
      <c r="A109" s="12" t="s">
        <v>81</v>
      </c>
      <c r="B109" s="65" t="s">
        <v>272</v>
      </c>
      <c r="C109" s="188"/>
      <c r="D109" s="188"/>
      <c r="E109" s="124"/>
    </row>
    <row r="110" spans="1:5" ht="12" customHeight="1">
      <c r="A110" s="12" t="s">
        <v>82</v>
      </c>
      <c r="B110" s="66" t="s">
        <v>273</v>
      </c>
      <c r="C110" s="188"/>
      <c r="D110" s="188"/>
      <c r="E110" s="124"/>
    </row>
    <row r="111" spans="1:5" ht="12" customHeight="1">
      <c r="A111" s="12" t="s">
        <v>83</v>
      </c>
      <c r="B111" s="66" t="s">
        <v>274</v>
      </c>
      <c r="C111" s="188"/>
      <c r="D111" s="188"/>
      <c r="E111" s="124"/>
    </row>
    <row r="112" spans="1:5" ht="12" customHeight="1">
      <c r="A112" s="12" t="s">
        <v>85</v>
      </c>
      <c r="B112" s="65" t="s">
        <v>275</v>
      </c>
      <c r="C112" s="188"/>
      <c r="D112" s="188"/>
      <c r="E112" s="124"/>
    </row>
    <row r="113" spans="1:5" ht="12" customHeight="1">
      <c r="A113" s="12" t="s">
        <v>131</v>
      </c>
      <c r="B113" s="65" t="s">
        <v>276</v>
      </c>
      <c r="C113" s="188"/>
      <c r="D113" s="188"/>
      <c r="E113" s="124"/>
    </row>
    <row r="114" spans="1:5" ht="12" customHeight="1">
      <c r="A114" s="12" t="s">
        <v>270</v>
      </c>
      <c r="B114" s="66" t="s">
        <v>277</v>
      </c>
      <c r="C114" s="188"/>
      <c r="D114" s="188"/>
      <c r="E114" s="124"/>
    </row>
    <row r="115" spans="1:5" ht="12" customHeight="1">
      <c r="A115" s="11" t="s">
        <v>271</v>
      </c>
      <c r="B115" s="67" t="s">
        <v>278</v>
      </c>
      <c r="C115" s="188"/>
      <c r="D115" s="188"/>
      <c r="E115" s="124"/>
    </row>
    <row r="116" spans="1:5" ht="12" customHeight="1">
      <c r="A116" s="12" t="s">
        <v>355</v>
      </c>
      <c r="B116" s="67" t="s">
        <v>279</v>
      </c>
      <c r="C116" s="188"/>
      <c r="D116" s="188"/>
      <c r="E116" s="124"/>
    </row>
    <row r="117" spans="1:5" ht="12" customHeight="1">
      <c r="A117" s="14" t="s">
        <v>356</v>
      </c>
      <c r="B117" s="67" t="s">
        <v>280</v>
      </c>
      <c r="C117" s="188"/>
      <c r="D117" s="188"/>
      <c r="E117" s="124"/>
    </row>
    <row r="118" spans="1:5" ht="12" customHeight="1">
      <c r="A118" s="12" t="s">
        <v>360</v>
      </c>
      <c r="B118" s="9" t="s">
        <v>39</v>
      </c>
      <c r="C118" s="186"/>
      <c r="D118" s="186"/>
      <c r="E118" s="122"/>
    </row>
    <row r="119" spans="1:5" ht="12" customHeight="1">
      <c r="A119" s="12" t="s">
        <v>361</v>
      </c>
      <c r="B119" s="6" t="s">
        <v>363</v>
      </c>
      <c r="C119" s="186"/>
      <c r="D119" s="186"/>
      <c r="E119" s="122"/>
    </row>
    <row r="120" spans="1:5" ht="12" customHeight="1" thickBot="1">
      <c r="A120" s="16" t="s">
        <v>362</v>
      </c>
      <c r="B120" s="252" t="s">
        <v>364</v>
      </c>
      <c r="C120" s="264"/>
      <c r="D120" s="264"/>
      <c r="E120" s="258"/>
    </row>
    <row r="121" spans="1:5" ht="12" customHeight="1" thickBot="1">
      <c r="A121" s="250" t="s">
        <v>10</v>
      </c>
      <c r="B121" s="251" t="s">
        <v>281</v>
      </c>
      <c r="C121" s="265">
        <f>+C122+C124+C126</f>
        <v>0</v>
      </c>
      <c r="D121" s="185">
        <f>+D122+D124+D126</f>
        <v>0</v>
      </c>
      <c r="E121" s="259">
        <f>+E122+E124+E126</f>
        <v>0</v>
      </c>
    </row>
    <row r="122" spans="1:5" ht="12" customHeight="1">
      <c r="A122" s="13" t="s">
        <v>73</v>
      </c>
      <c r="B122" s="6" t="s">
        <v>157</v>
      </c>
      <c r="C122" s="187"/>
      <c r="D122" s="274"/>
      <c r="E122" s="123"/>
    </row>
    <row r="123" spans="1:5" ht="12" customHeight="1">
      <c r="A123" s="13" t="s">
        <v>74</v>
      </c>
      <c r="B123" s="10" t="s">
        <v>285</v>
      </c>
      <c r="C123" s="187"/>
      <c r="D123" s="274"/>
      <c r="E123" s="123"/>
    </row>
    <row r="124" spans="1:5" ht="12" customHeight="1">
      <c r="A124" s="13" t="s">
        <v>75</v>
      </c>
      <c r="B124" s="10" t="s">
        <v>132</v>
      </c>
      <c r="C124" s="186"/>
      <c r="D124" s="275"/>
      <c r="E124" s="122"/>
    </row>
    <row r="125" spans="1:5" ht="12" customHeight="1">
      <c r="A125" s="13" t="s">
        <v>76</v>
      </c>
      <c r="B125" s="10" t="s">
        <v>286</v>
      </c>
      <c r="C125" s="186"/>
      <c r="D125" s="275"/>
      <c r="E125" s="122"/>
    </row>
    <row r="126" spans="1:5" ht="12" customHeight="1">
      <c r="A126" s="13" t="s">
        <v>77</v>
      </c>
      <c r="B126" s="130" t="s">
        <v>159</v>
      </c>
      <c r="C126" s="186"/>
      <c r="D126" s="275"/>
      <c r="E126" s="122"/>
    </row>
    <row r="127" spans="1:5" ht="12" customHeight="1">
      <c r="A127" s="13" t="s">
        <v>84</v>
      </c>
      <c r="B127" s="129" t="s">
        <v>347</v>
      </c>
      <c r="C127" s="186"/>
      <c r="D127" s="275"/>
      <c r="E127" s="122"/>
    </row>
    <row r="128" spans="1:5" ht="12" customHeight="1">
      <c r="A128" s="13" t="s">
        <v>86</v>
      </c>
      <c r="B128" s="194" t="s">
        <v>291</v>
      </c>
      <c r="C128" s="186"/>
      <c r="D128" s="275"/>
      <c r="E128" s="122"/>
    </row>
    <row r="129" spans="1:5">
      <c r="A129" s="13" t="s">
        <v>133</v>
      </c>
      <c r="B129" s="66" t="s">
        <v>274</v>
      </c>
      <c r="C129" s="186"/>
      <c r="D129" s="275"/>
      <c r="E129" s="122"/>
    </row>
    <row r="130" spans="1:5" ht="12" customHeight="1">
      <c r="A130" s="13" t="s">
        <v>134</v>
      </c>
      <c r="B130" s="66" t="s">
        <v>290</v>
      </c>
      <c r="C130" s="186"/>
      <c r="D130" s="275"/>
      <c r="E130" s="122"/>
    </row>
    <row r="131" spans="1:5" ht="12" customHeight="1">
      <c r="A131" s="13" t="s">
        <v>135</v>
      </c>
      <c r="B131" s="66" t="s">
        <v>289</v>
      </c>
      <c r="C131" s="186"/>
      <c r="D131" s="275"/>
      <c r="E131" s="122"/>
    </row>
    <row r="132" spans="1:5" ht="12" customHeight="1">
      <c r="A132" s="13" t="s">
        <v>282</v>
      </c>
      <c r="B132" s="66" t="s">
        <v>277</v>
      </c>
      <c r="C132" s="186"/>
      <c r="D132" s="275"/>
      <c r="E132" s="122"/>
    </row>
    <row r="133" spans="1:5" ht="12" customHeight="1">
      <c r="A133" s="13" t="s">
        <v>283</v>
      </c>
      <c r="B133" s="66" t="s">
        <v>288</v>
      </c>
      <c r="C133" s="186"/>
      <c r="D133" s="275"/>
      <c r="E133" s="122"/>
    </row>
    <row r="134" spans="1:5" ht="16.5" thickBot="1">
      <c r="A134" s="11" t="s">
        <v>284</v>
      </c>
      <c r="B134" s="66" t="s">
        <v>287</v>
      </c>
      <c r="C134" s="188"/>
      <c r="D134" s="276"/>
      <c r="E134" s="124"/>
    </row>
    <row r="135" spans="1:5" ht="12" customHeight="1" thickBot="1">
      <c r="A135" s="18" t="s">
        <v>11</v>
      </c>
      <c r="B135" s="59" t="s">
        <v>365</v>
      </c>
      <c r="C135" s="185">
        <f>+C100+C121</f>
        <v>16102500</v>
      </c>
      <c r="D135" s="273">
        <f>+D100+D121</f>
        <v>16102500</v>
      </c>
      <c r="E135" s="121">
        <f>+E100+E121</f>
        <v>8012839</v>
      </c>
    </row>
    <row r="136" spans="1:5" ht="12" customHeight="1" thickBot="1">
      <c r="A136" s="18" t="s">
        <v>12</v>
      </c>
      <c r="B136" s="59" t="s">
        <v>440</v>
      </c>
      <c r="C136" s="185">
        <f>+C137+C138+C139</f>
        <v>0</v>
      </c>
      <c r="D136" s="273">
        <f>+D137+D138+D139</f>
        <v>0</v>
      </c>
      <c r="E136" s="121">
        <f>+E137+E138+E139</f>
        <v>0</v>
      </c>
    </row>
    <row r="137" spans="1:5" ht="12" customHeight="1">
      <c r="A137" s="13" t="s">
        <v>190</v>
      </c>
      <c r="B137" s="10" t="s">
        <v>373</v>
      </c>
      <c r="C137" s="186"/>
      <c r="D137" s="275"/>
      <c r="E137" s="122"/>
    </row>
    <row r="138" spans="1:5" ht="12" customHeight="1">
      <c r="A138" s="13" t="s">
        <v>191</v>
      </c>
      <c r="B138" s="10" t="s">
        <v>374</v>
      </c>
      <c r="C138" s="186"/>
      <c r="D138" s="275"/>
      <c r="E138" s="122"/>
    </row>
    <row r="139" spans="1:5" ht="12" customHeight="1" thickBot="1">
      <c r="A139" s="11" t="s">
        <v>192</v>
      </c>
      <c r="B139" s="10" t="s">
        <v>375</v>
      </c>
      <c r="C139" s="186"/>
      <c r="D139" s="275"/>
      <c r="E139" s="122"/>
    </row>
    <row r="140" spans="1:5" ht="12" customHeight="1" thickBot="1">
      <c r="A140" s="18" t="s">
        <v>13</v>
      </c>
      <c r="B140" s="59" t="s">
        <v>367</v>
      </c>
      <c r="C140" s="185">
        <f>SUM(C141:C146)</f>
        <v>0</v>
      </c>
      <c r="D140" s="273">
        <f>SUM(D141:D146)</f>
        <v>0</v>
      </c>
      <c r="E140" s="121">
        <f>SUM(E141:E146)</f>
        <v>0</v>
      </c>
    </row>
    <row r="141" spans="1:5" ht="12" customHeight="1">
      <c r="A141" s="13" t="s">
        <v>60</v>
      </c>
      <c r="B141" s="7" t="s">
        <v>376</v>
      </c>
      <c r="C141" s="186"/>
      <c r="D141" s="275"/>
      <c r="E141" s="122"/>
    </row>
    <row r="142" spans="1:5" ht="12" customHeight="1">
      <c r="A142" s="13" t="s">
        <v>61</v>
      </c>
      <c r="B142" s="7" t="s">
        <v>368</v>
      </c>
      <c r="C142" s="186"/>
      <c r="D142" s="275"/>
      <c r="E142" s="122"/>
    </row>
    <row r="143" spans="1:5" ht="12" customHeight="1">
      <c r="A143" s="13" t="s">
        <v>62</v>
      </c>
      <c r="B143" s="7" t="s">
        <v>369</v>
      </c>
      <c r="C143" s="186"/>
      <c r="D143" s="275"/>
      <c r="E143" s="122"/>
    </row>
    <row r="144" spans="1:5" ht="12" customHeight="1">
      <c r="A144" s="13" t="s">
        <v>120</v>
      </c>
      <c r="B144" s="7" t="s">
        <v>370</v>
      </c>
      <c r="C144" s="186"/>
      <c r="D144" s="275"/>
      <c r="E144" s="122"/>
    </row>
    <row r="145" spans="1:9" ht="12" customHeight="1">
      <c r="A145" s="13" t="s">
        <v>121</v>
      </c>
      <c r="B145" s="7" t="s">
        <v>371</v>
      </c>
      <c r="C145" s="186"/>
      <c r="D145" s="275"/>
      <c r="E145" s="122"/>
    </row>
    <row r="146" spans="1:9" ht="12" customHeight="1" thickBot="1">
      <c r="A146" s="16" t="s">
        <v>122</v>
      </c>
      <c r="B146" s="400" t="s">
        <v>372</v>
      </c>
      <c r="C146" s="264"/>
      <c r="D146" s="340"/>
      <c r="E146" s="258"/>
    </row>
    <row r="147" spans="1:9" ht="12" customHeight="1" thickBot="1">
      <c r="A147" s="18" t="s">
        <v>14</v>
      </c>
      <c r="B147" s="59" t="s">
        <v>380</v>
      </c>
      <c r="C147" s="191">
        <f>+C148+C149+C150+C151</f>
        <v>0</v>
      </c>
      <c r="D147" s="277">
        <f>+D148+D149+D150+D151</f>
        <v>0</v>
      </c>
      <c r="E147" s="227">
        <f>+E148+E149+E150+E151</f>
        <v>0</v>
      </c>
    </row>
    <row r="148" spans="1:9" ht="12" customHeight="1">
      <c r="A148" s="13" t="s">
        <v>63</v>
      </c>
      <c r="B148" s="7" t="s">
        <v>292</v>
      </c>
      <c r="C148" s="186"/>
      <c r="D148" s="275"/>
      <c r="E148" s="122"/>
    </row>
    <row r="149" spans="1:9" ht="12" customHeight="1">
      <c r="A149" s="13" t="s">
        <v>64</v>
      </c>
      <c r="B149" s="7" t="s">
        <v>293</v>
      </c>
      <c r="C149" s="186"/>
      <c r="D149" s="275"/>
      <c r="E149" s="122"/>
    </row>
    <row r="150" spans="1:9" ht="12" customHeight="1">
      <c r="A150" s="13" t="s">
        <v>209</v>
      </c>
      <c r="B150" s="7" t="s">
        <v>381</v>
      </c>
      <c r="C150" s="186"/>
      <c r="D150" s="275"/>
      <c r="E150" s="122"/>
    </row>
    <row r="151" spans="1:9" ht="12" customHeight="1" thickBot="1">
      <c r="A151" s="11" t="s">
        <v>210</v>
      </c>
      <c r="B151" s="5" t="s">
        <v>311</v>
      </c>
      <c r="C151" s="186"/>
      <c r="D151" s="275"/>
      <c r="E151" s="122"/>
    </row>
    <row r="152" spans="1:9" ht="12" customHeight="1" thickBot="1">
      <c r="A152" s="18" t="s">
        <v>15</v>
      </c>
      <c r="B152" s="59" t="s">
        <v>382</v>
      </c>
      <c r="C152" s="266">
        <f>SUM(C153:C157)</f>
        <v>0</v>
      </c>
      <c r="D152" s="278">
        <f>SUM(D153:D157)</f>
        <v>0</v>
      </c>
      <c r="E152" s="260">
        <f>SUM(E153:E157)</f>
        <v>0</v>
      </c>
    </row>
    <row r="153" spans="1:9" ht="12" customHeight="1">
      <c r="A153" s="13" t="s">
        <v>65</v>
      </c>
      <c r="B153" s="7" t="s">
        <v>377</v>
      </c>
      <c r="C153" s="186"/>
      <c r="D153" s="275"/>
      <c r="E153" s="122"/>
    </row>
    <row r="154" spans="1:9" ht="12" customHeight="1">
      <c r="A154" s="13" t="s">
        <v>66</v>
      </c>
      <c r="B154" s="7" t="s">
        <v>384</v>
      </c>
      <c r="C154" s="186"/>
      <c r="D154" s="275"/>
      <c r="E154" s="122"/>
    </row>
    <row r="155" spans="1:9" ht="12" customHeight="1">
      <c r="A155" s="13" t="s">
        <v>221</v>
      </c>
      <c r="B155" s="7" t="s">
        <v>379</v>
      </c>
      <c r="C155" s="186"/>
      <c r="D155" s="275"/>
      <c r="E155" s="122"/>
    </row>
    <row r="156" spans="1:9" ht="12" customHeight="1">
      <c r="A156" s="13" t="s">
        <v>222</v>
      </c>
      <c r="B156" s="7" t="s">
        <v>385</v>
      </c>
      <c r="C156" s="186"/>
      <c r="D156" s="275"/>
      <c r="E156" s="122"/>
    </row>
    <row r="157" spans="1:9" ht="12" customHeight="1" thickBot="1">
      <c r="A157" s="13" t="s">
        <v>383</v>
      </c>
      <c r="B157" s="7" t="s">
        <v>386</v>
      </c>
      <c r="C157" s="186"/>
      <c r="D157" s="275"/>
      <c r="E157" s="122"/>
    </row>
    <row r="158" spans="1:9" ht="12" customHeight="1" thickBot="1">
      <c r="A158" s="18" t="s">
        <v>16</v>
      </c>
      <c r="B158" s="59" t="s">
        <v>387</v>
      </c>
      <c r="C158" s="267"/>
      <c r="D158" s="279"/>
      <c r="E158" s="261"/>
    </row>
    <row r="159" spans="1:9" ht="12" customHeight="1" thickBot="1">
      <c r="A159" s="18" t="s">
        <v>17</v>
      </c>
      <c r="B159" s="59" t="s">
        <v>388</v>
      </c>
      <c r="C159" s="267"/>
      <c r="D159" s="279"/>
      <c r="E159" s="261"/>
    </row>
    <row r="160" spans="1:9" ht="15.2" customHeight="1" thickBot="1">
      <c r="A160" s="18" t="s">
        <v>18</v>
      </c>
      <c r="B160" s="59" t="s">
        <v>390</v>
      </c>
      <c r="C160" s="268">
        <f>+C136+C140+C147+C152+C158+C159</f>
        <v>0</v>
      </c>
      <c r="D160" s="280">
        <f>+D136+D140+D147+D152+D158+D159</f>
        <v>0</v>
      </c>
      <c r="E160" s="262">
        <f>+E136+E140+E147+E152+E158+E159</f>
        <v>0</v>
      </c>
      <c r="F160" s="208"/>
      <c r="G160" s="209"/>
      <c r="H160" s="209"/>
      <c r="I160" s="209"/>
    </row>
    <row r="161" spans="1:5" s="197" customFormat="1" ht="12.95" customHeight="1" thickBot="1">
      <c r="A161" s="131" t="s">
        <v>19</v>
      </c>
      <c r="B161" s="172" t="s">
        <v>389</v>
      </c>
      <c r="C161" s="268">
        <f>+C135+C160</f>
        <v>16102500</v>
      </c>
      <c r="D161" s="280">
        <f>+D135+D160</f>
        <v>16102500</v>
      </c>
      <c r="E161" s="262">
        <f>+E135+E160</f>
        <v>8012839</v>
      </c>
    </row>
    <row r="162" spans="1:5">
      <c r="C162" s="463">
        <f>C93-C161</f>
        <v>0</v>
      </c>
      <c r="D162" s="463">
        <f>D93-D161</f>
        <v>0</v>
      </c>
    </row>
    <row r="163" spans="1:5">
      <c r="A163" s="490" t="s">
        <v>294</v>
      </c>
      <c r="B163" s="490"/>
      <c r="C163" s="490"/>
      <c r="D163" s="490"/>
      <c r="E163" s="490"/>
    </row>
    <row r="164" spans="1:5" ht="15.2" customHeight="1" thickBot="1">
      <c r="A164" s="482" t="s">
        <v>108</v>
      </c>
      <c r="B164" s="482"/>
      <c r="C164" s="133"/>
      <c r="E164" s="133" t="str">
        <f>E96</f>
        <v xml:space="preserve"> Forintban!</v>
      </c>
    </row>
    <row r="165" spans="1:5" ht="25.5" customHeight="1" thickBot="1">
      <c r="A165" s="18">
        <v>1</v>
      </c>
      <c r="B165" s="23" t="s">
        <v>391</v>
      </c>
      <c r="C165" s="272">
        <f>+C68-C135</f>
        <v>0</v>
      </c>
      <c r="D165" s="185">
        <f>+D68-D135</f>
        <v>0</v>
      </c>
      <c r="E165" s="121">
        <f>+E68-E135</f>
        <v>0</v>
      </c>
    </row>
    <row r="166" spans="1:5" ht="32.450000000000003" customHeight="1" thickBot="1">
      <c r="A166" s="18" t="s">
        <v>10</v>
      </c>
      <c r="B166" s="23" t="s">
        <v>397</v>
      </c>
      <c r="C166" s="185">
        <f>+C92-C160</f>
        <v>0</v>
      </c>
      <c r="D166" s="185">
        <f>+D92-D160</f>
        <v>0</v>
      </c>
      <c r="E166" s="121">
        <f>+E92-E160</f>
        <v>0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A7:B7"/>
    <mergeCell ref="B1:E1"/>
    <mergeCell ref="A2:E2"/>
    <mergeCell ref="A3:E3"/>
    <mergeCell ref="A4:E4"/>
    <mergeCell ref="A6:E6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A1:J33"/>
  <sheetViews>
    <sheetView zoomScale="114" zoomScaleNormal="114" zoomScaleSheetLayoutView="130" workbookViewId="0">
      <selection activeCell="E24" sqref="E24"/>
    </sheetView>
  </sheetViews>
  <sheetFormatPr defaultRowHeight="12.75"/>
  <cols>
    <col min="1" max="1" width="6.83203125" style="33" customWidth="1"/>
    <col min="2" max="2" width="48" style="78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>
      <c r="A1" s="425"/>
      <c r="B1" s="431" t="s">
        <v>112</v>
      </c>
      <c r="C1" s="432"/>
      <c r="D1" s="432"/>
      <c r="E1" s="432"/>
      <c r="F1" s="432"/>
      <c r="G1" s="432"/>
      <c r="H1" s="432"/>
      <c r="I1" s="432"/>
      <c r="J1" s="498" t="str">
        <f>CONCATENATE("2.1. melléklet ",IB_ALAPADATOK!A7," ",IB_ALAPADATOK!B7," ",IB_ALAPADATOK!C7," ",IB_ALAPADATOK!D7)</f>
        <v xml:space="preserve">2.1. melléklet a 7/2019.(X.09.)  önkormányzati rendelethez </v>
      </c>
    </row>
    <row r="2" spans="1:10" ht="14.25" thickBot="1">
      <c r="A2" s="425"/>
      <c r="B2" s="424"/>
      <c r="C2" s="425"/>
      <c r="D2" s="425"/>
      <c r="E2" s="425"/>
      <c r="F2" s="425"/>
      <c r="G2" s="433"/>
      <c r="H2" s="433"/>
      <c r="I2" s="433" t="str">
        <f>CONCATENATE('1.4.sz.mell.'!E7)</f>
        <v xml:space="preserve"> Forintban!</v>
      </c>
      <c r="J2" s="498"/>
    </row>
    <row r="3" spans="1:10" ht="18" customHeight="1" thickBot="1">
      <c r="A3" s="495" t="s">
        <v>55</v>
      </c>
      <c r="B3" s="434" t="s">
        <v>43</v>
      </c>
      <c r="C3" s="435"/>
      <c r="D3" s="436"/>
      <c r="E3" s="436"/>
      <c r="F3" s="434" t="s">
        <v>44</v>
      </c>
      <c r="G3" s="437"/>
      <c r="H3" s="438"/>
      <c r="I3" s="439"/>
      <c r="J3" s="498"/>
    </row>
    <row r="4" spans="1:10" s="141" customFormat="1" ht="35.25" customHeight="1" thickBot="1">
      <c r="A4" s="496"/>
      <c r="B4" s="427" t="s">
        <v>48</v>
      </c>
      <c r="C4" s="393" t="str">
        <f>+CONCATENATE(_1.1.sz.mell.!C8," eredeti előirányzat")</f>
        <v>2019. évi eredeti előirányzat</v>
      </c>
      <c r="D4" s="391" t="str">
        <f>+CONCATENATE(_1.1.sz.mell.!C8," módosított előirányzat")</f>
        <v>2019. évi módosított előirányzat</v>
      </c>
      <c r="E4" s="391" t="str">
        <f>+CONCATENATE(LEFT(_1.1.sz.mell.!C8,4),". VI. 30. teljesítés")</f>
        <v>2019. VI. 30. teljesítés</v>
      </c>
      <c r="F4" s="427" t="s">
        <v>48</v>
      </c>
      <c r="G4" s="393" t="str">
        <f>+C4</f>
        <v>2019. évi eredeti előirányzat</v>
      </c>
      <c r="H4" s="393" t="str">
        <f>+D4</f>
        <v>2019. évi módosított előirányzat</v>
      </c>
      <c r="I4" s="392" t="str">
        <f>+E4</f>
        <v>2019. VI. 30. teljesítés</v>
      </c>
      <c r="J4" s="498"/>
    </row>
    <row r="5" spans="1:10" s="142" customFormat="1" ht="12" customHeight="1" thickBot="1">
      <c r="A5" s="440" t="s">
        <v>404</v>
      </c>
      <c r="B5" s="441" t="s">
        <v>405</v>
      </c>
      <c r="C5" s="442" t="s">
        <v>406</v>
      </c>
      <c r="D5" s="445" t="s">
        <v>408</v>
      </c>
      <c r="E5" s="445" t="s">
        <v>407</v>
      </c>
      <c r="F5" s="441" t="s">
        <v>441</v>
      </c>
      <c r="G5" s="442" t="s">
        <v>410</v>
      </c>
      <c r="H5" s="442" t="s">
        <v>411</v>
      </c>
      <c r="I5" s="446" t="s">
        <v>442</v>
      </c>
      <c r="J5" s="498"/>
    </row>
    <row r="6" spans="1:10" ht="12.95" customHeight="1">
      <c r="A6" s="143" t="s">
        <v>9</v>
      </c>
      <c r="B6" s="144" t="s">
        <v>295</v>
      </c>
      <c r="C6" s="134">
        <v>306357706</v>
      </c>
      <c r="D6" s="134">
        <v>314679085</v>
      </c>
      <c r="E6" s="134">
        <v>166864604</v>
      </c>
      <c r="F6" s="144" t="s">
        <v>49</v>
      </c>
      <c r="G6" s="134">
        <v>221968200</v>
      </c>
      <c r="H6" s="134">
        <v>351369976</v>
      </c>
      <c r="I6" s="286">
        <v>185693801</v>
      </c>
      <c r="J6" s="498"/>
    </row>
    <row r="7" spans="1:10" ht="12.95" customHeight="1">
      <c r="A7" s="145" t="s">
        <v>10</v>
      </c>
      <c r="B7" s="146" t="s">
        <v>296</v>
      </c>
      <c r="C7" s="135">
        <v>16055000</v>
      </c>
      <c r="D7" s="135">
        <v>78172403</v>
      </c>
      <c r="E7" s="135">
        <v>75424950</v>
      </c>
      <c r="F7" s="146" t="s">
        <v>128</v>
      </c>
      <c r="G7" s="135">
        <v>41239100</v>
      </c>
      <c r="H7" s="135">
        <v>69059234</v>
      </c>
      <c r="I7" s="287">
        <v>30731229</v>
      </c>
      <c r="J7" s="498"/>
    </row>
    <row r="8" spans="1:10" ht="12.95" customHeight="1">
      <c r="A8" s="145" t="s">
        <v>11</v>
      </c>
      <c r="B8" s="146" t="s">
        <v>316</v>
      </c>
      <c r="C8" s="135"/>
      <c r="D8" s="135"/>
      <c r="E8" s="135"/>
      <c r="F8" s="146" t="s">
        <v>161</v>
      </c>
      <c r="G8" s="135">
        <v>253478273</v>
      </c>
      <c r="H8" s="135">
        <v>492305704</v>
      </c>
      <c r="I8" s="287">
        <v>325642116</v>
      </c>
      <c r="J8" s="498"/>
    </row>
    <row r="9" spans="1:10" ht="12.95" customHeight="1">
      <c r="A9" s="145" t="s">
        <v>12</v>
      </c>
      <c r="B9" s="146" t="s">
        <v>119</v>
      </c>
      <c r="C9" s="135">
        <v>25084500</v>
      </c>
      <c r="D9" s="135">
        <v>30158987</v>
      </c>
      <c r="E9" s="135">
        <v>10883138</v>
      </c>
      <c r="F9" s="146" t="s">
        <v>129</v>
      </c>
      <c r="G9" s="135">
        <v>8429500</v>
      </c>
      <c r="H9" s="135">
        <v>8429500</v>
      </c>
      <c r="I9" s="287">
        <v>4102276</v>
      </c>
      <c r="J9" s="498"/>
    </row>
    <row r="10" spans="1:10" ht="12.95" customHeight="1">
      <c r="A10" s="145" t="s">
        <v>13</v>
      </c>
      <c r="B10" s="147" t="s">
        <v>340</v>
      </c>
      <c r="C10" s="135">
        <v>40857100</v>
      </c>
      <c r="D10" s="135">
        <v>48221637</v>
      </c>
      <c r="E10" s="135">
        <v>31015971</v>
      </c>
      <c r="F10" s="146" t="s">
        <v>130</v>
      </c>
      <c r="G10" s="135">
        <v>23820000</v>
      </c>
      <c r="H10" s="135">
        <v>39374429</v>
      </c>
      <c r="I10" s="287">
        <v>25596781</v>
      </c>
      <c r="J10" s="498"/>
    </row>
    <row r="11" spans="1:10" ht="12.95" customHeight="1">
      <c r="A11" s="145" t="s">
        <v>14</v>
      </c>
      <c r="B11" s="146" t="s">
        <v>297</v>
      </c>
      <c r="C11" s="136"/>
      <c r="D11" s="136"/>
      <c r="E11" s="136">
        <v>0</v>
      </c>
      <c r="F11" s="146" t="s">
        <v>39</v>
      </c>
      <c r="G11" s="135"/>
      <c r="H11" s="135"/>
      <c r="I11" s="287"/>
      <c r="J11" s="498"/>
    </row>
    <row r="12" spans="1:10" ht="12.95" customHeight="1">
      <c r="A12" s="145" t="s">
        <v>15</v>
      </c>
      <c r="B12" s="146" t="s">
        <v>398</v>
      </c>
      <c r="C12" s="135"/>
      <c r="D12" s="135"/>
      <c r="E12" s="135"/>
      <c r="F12" s="30"/>
      <c r="G12" s="135"/>
      <c r="H12" s="135"/>
      <c r="I12" s="287"/>
      <c r="J12" s="498"/>
    </row>
    <row r="13" spans="1:10" ht="12.95" customHeight="1">
      <c r="A13" s="145" t="s">
        <v>16</v>
      </c>
      <c r="B13" s="30"/>
      <c r="C13" s="135"/>
      <c r="D13" s="135"/>
      <c r="E13" s="135"/>
      <c r="F13" s="30"/>
      <c r="G13" s="135"/>
      <c r="H13" s="135"/>
      <c r="I13" s="287"/>
      <c r="J13" s="498"/>
    </row>
    <row r="14" spans="1:10" ht="12.95" customHeight="1">
      <c r="A14" s="145" t="s">
        <v>17</v>
      </c>
      <c r="B14" s="210"/>
      <c r="C14" s="136"/>
      <c r="D14" s="136"/>
      <c r="E14" s="136"/>
      <c r="F14" s="30"/>
      <c r="G14" s="135"/>
      <c r="H14" s="135"/>
      <c r="I14" s="287"/>
      <c r="J14" s="498"/>
    </row>
    <row r="15" spans="1:10" ht="12.95" customHeight="1">
      <c r="A15" s="145" t="s">
        <v>18</v>
      </c>
      <c r="B15" s="30"/>
      <c r="C15" s="135"/>
      <c r="D15" s="135"/>
      <c r="E15" s="135"/>
      <c r="F15" s="30"/>
      <c r="G15" s="135"/>
      <c r="H15" s="135"/>
      <c r="I15" s="287"/>
      <c r="J15" s="498"/>
    </row>
    <row r="16" spans="1:10" ht="12.95" customHeight="1">
      <c r="A16" s="145" t="s">
        <v>19</v>
      </c>
      <c r="B16" s="30"/>
      <c r="C16" s="135"/>
      <c r="D16" s="135"/>
      <c r="E16" s="135"/>
      <c r="F16" s="30"/>
      <c r="G16" s="135"/>
      <c r="H16" s="135"/>
      <c r="I16" s="287"/>
      <c r="J16" s="498"/>
    </row>
    <row r="17" spans="1:10" ht="12.95" customHeight="1" thickBot="1">
      <c r="A17" s="145" t="s">
        <v>20</v>
      </c>
      <c r="B17" s="35"/>
      <c r="C17" s="137"/>
      <c r="D17" s="137"/>
      <c r="E17" s="137"/>
      <c r="F17" s="30"/>
      <c r="G17" s="137"/>
      <c r="H17" s="137"/>
      <c r="I17" s="288"/>
      <c r="J17" s="498"/>
    </row>
    <row r="18" spans="1:10" ht="21.75" thickBot="1">
      <c r="A18" s="148" t="s">
        <v>21</v>
      </c>
      <c r="B18" s="60" t="s">
        <v>399</v>
      </c>
      <c r="C18" s="138">
        <f>C6+C7+C9+C10+C11+C13+C14+C15+C16+C17</f>
        <v>388354306</v>
      </c>
      <c r="D18" s="138">
        <f>D6+D7+D9+D10+D11+D13+D14+D15+D16+D17</f>
        <v>471232112</v>
      </c>
      <c r="E18" s="138">
        <f>E6+E7+E9+E10+E11+E13+E14+E15+E16+E17</f>
        <v>284188663</v>
      </c>
      <c r="F18" s="60" t="s">
        <v>302</v>
      </c>
      <c r="G18" s="138">
        <f>SUM(G6:G17)</f>
        <v>548935073</v>
      </c>
      <c r="H18" s="138">
        <f>SUM(H6:H17)</f>
        <v>960538843</v>
      </c>
      <c r="I18" s="166">
        <f>SUM(I6:I17)</f>
        <v>571766203</v>
      </c>
      <c r="J18" s="498"/>
    </row>
    <row r="19" spans="1:10" ht="12.95" customHeight="1">
      <c r="A19" s="149" t="s">
        <v>22</v>
      </c>
      <c r="B19" s="150" t="s">
        <v>299</v>
      </c>
      <c r="C19" s="254">
        <f>+C20+C21+C22+C23</f>
        <v>747888694</v>
      </c>
      <c r="D19" s="254">
        <f>+D20+D21+D22+D23</f>
        <v>1313786630</v>
      </c>
      <c r="E19" s="254">
        <f>+E20+E21+E22+E23</f>
        <v>1313786630</v>
      </c>
      <c r="F19" s="151" t="s">
        <v>136</v>
      </c>
      <c r="G19" s="139"/>
      <c r="H19" s="139"/>
      <c r="I19" s="289"/>
      <c r="J19" s="498"/>
    </row>
    <row r="20" spans="1:10" ht="12.95" customHeight="1">
      <c r="A20" s="152" t="s">
        <v>23</v>
      </c>
      <c r="B20" s="151" t="s">
        <v>155</v>
      </c>
      <c r="C20" s="49">
        <v>647888694</v>
      </c>
      <c r="D20" s="49">
        <v>1283786630</v>
      </c>
      <c r="E20" s="49">
        <v>1283786630</v>
      </c>
      <c r="F20" s="151" t="s">
        <v>301</v>
      </c>
      <c r="G20" s="49"/>
      <c r="H20" s="49"/>
      <c r="I20" s="290"/>
      <c r="J20" s="498"/>
    </row>
    <row r="21" spans="1:10" ht="12.95" customHeight="1">
      <c r="A21" s="152" t="s">
        <v>24</v>
      </c>
      <c r="B21" s="151" t="s">
        <v>156</v>
      </c>
      <c r="C21" s="49"/>
      <c r="D21" s="49"/>
      <c r="E21" s="49"/>
      <c r="F21" s="151" t="s">
        <v>110</v>
      </c>
      <c r="G21" s="49"/>
      <c r="H21" s="49"/>
      <c r="I21" s="290"/>
      <c r="J21" s="498"/>
    </row>
    <row r="22" spans="1:10" ht="12.95" customHeight="1">
      <c r="A22" s="152" t="s">
        <v>25</v>
      </c>
      <c r="B22" s="151" t="s">
        <v>160</v>
      </c>
      <c r="C22" s="49">
        <v>100000000</v>
      </c>
      <c r="D22" s="49"/>
      <c r="E22" s="49"/>
      <c r="F22" s="151" t="s">
        <v>111</v>
      </c>
      <c r="G22" s="49"/>
      <c r="H22" s="49"/>
      <c r="I22" s="290"/>
      <c r="J22" s="498"/>
    </row>
    <row r="23" spans="1:10" ht="12.95" customHeight="1">
      <c r="A23" s="152" t="s">
        <v>26</v>
      </c>
      <c r="B23" s="157" t="s">
        <v>166</v>
      </c>
      <c r="C23" s="49"/>
      <c r="D23" s="49">
        <v>30000000</v>
      </c>
      <c r="E23" s="49">
        <v>30000000</v>
      </c>
      <c r="F23" s="150" t="s">
        <v>162</v>
      </c>
      <c r="G23" s="49"/>
      <c r="H23" s="49"/>
      <c r="I23" s="290"/>
      <c r="J23" s="498"/>
    </row>
    <row r="24" spans="1:10" ht="12.95" customHeight="1">
      <c r="A24" s="152" t="s">
        <v>27</v>
      </c>
      <c r="B24" s="151" t="s">
        <v>300</v>
      </c>
      <c r="C24" s="153">
        <f>+C25+C26</f>
        <v>0</v>
      </c>
      <c r="D24" s="153">
        <f>+D25+D26</f>
        <v>0</v>
      </c>
      <c r="E24" s="153">
        <f>+E25+E26</f>
        <v>0</v>
      </c>
      <c r="F24" s="151" t="s">
        <v>137</v>
      </c>
      <c r="G24" s="49"/>
      <c r="H24" s="49"/>
      <c r="I24" s="290"/>
      <c r="J24" s="498"/>
    </row>
    <row r="25" spans="1:10" ht="12.95" customHeight="1">
      <c r="A25" s="149" t="s">
        <v>28</v>
      </c>
      <c r="B25" s="150" t="s">
        <v>298</v>
      </c>
      <c r="C25" s="139"/>
      <c r="D25" s="139"/>
      <c r="E25" s="139"/>
      <c r="F25" s="144" t="s">
        <v>381</v>
      </c>
      <c r="G25" s="139"/>
      <c r="H25" s="139"/>
      <c r="I25" s="289"/>
      <c r="J25" s="498"/>
    </row>
    <row r="26" spans="1:10" ht="12.95" customHeight="1">
      <c r="A26" s="152" t="s">
        <v>29</v>
      </c>
      <c r="B26" s="151" t="s">
        <v>595</v>
      </c>
      <c r="C26" s="49"/>
      <c r="D26" s="49"/>
      <c r="E26" s="49"/>
      <c r="F26" s="146" t="s">
        <v>387</v>
      </c>
      <c r="G26" s="49"/>
      <c r="H26" s="49"/>
      <c r="I26" s="290"/>
      <c r="J26" s="498"/>
    </row>
    <row r="27" spans="1:10" ht="12.95" customHeight="1">
      <c r="A27" s="145" t="s">
        <v>30</v>
      </c>
      <c r="B27" s="151" t="s">
        <v>392</v>
      </c>
      <c r="C27" s="49"/>
      <c r="D27" s="49"/>
      <c r="E27" s="49"/>
      <c r="F27" s="146" t="s">
        <v>388</v>
      </c>
      <c r="G27" s="49"/>
      <c r="H27" s="49"/>
      <c r="I27" s="290"/>
      <c r="J27" s="498"/>
    </row>
    <row r="28" spans="1:10" ht="12.95" customHeight="1" thickBot="1">
      <c r="A28" s="181" t="s">
        <v>31</v>
      </c>
      <c r="B28" s="150" t="s">
        <v>256</v>
      </c>
      <c r="C28" s="139"/>
      <c r="D28" s="139"/>
      <c r="E28" s="139"/>
      <c r="F28" s="212"/>
      <c r="G28" s="139"/>
      <c r="H28" s="139"/>
      <c r="I28" s="289"/>
      <c r="J28" s="498"/>
    </row>
    <row r="29" spans="1:10" ht="24" customHeight="1" thickBot="1">
      <c r="A29" s="148" t="s">
        <v>32</v>
      </c>
      <c r="B29" s="60" t="s">
        <v>400</v>
      </c>
      <c r="C29" s="138">
        <f>+C19+C24+C27+C28</f>
        <v>747888694</v>
      </c>
      <c r="D29" s="138">
        <f>+D19+D24+D27+D28</f>
        <v>1313786630</v>
      </c>
      <c r="E29" s="284">
        <f>+E19+E24+E27+E28</f>
        <v>1313786630</v>
      </c>
      <c r="F29" s="60" t="s">
        <v>402</v>
      </c>
      <c r="G29" s="138">
        <f>SUM(G19:G28)</f>
        <v>0</v>
      </c>
      <c r="H29" s="138">
        <f>SUM(H19:H28)</f>
        <v>0</v>
      </c>
      <c r="I29" s="166">
        <f>SUM(I19:I28)</f>
        <v>0</v>
      </c>
      <c r="J29" s="498"/>
    </row>
    <row r="30" spans="1:10" ht="13.5" thickBot="1">
      <c r="A30" s="148" t="s">
        <v>33</v>
      </c>
      <c r="B30" s="154" t="s">
        <v>401</v>
      </c>
      <c r="C30" s="355">
        <f>+C18+C29</f>
        <v>1136243000</v>
      </c>
      <c r="D30" s="355">
        <f>+D18+D29</f>
        <v>1785018742</v>
      </c>
      <c r="E30" s="356">
        <f>+E18+E29</f>
        <v>1597975293</v>
      </c>
      <c r="F30" s="154" t="s">
        <v>403</v>
      </c>
      <c r="G30" s="355">
        <f>+G18+G29</f>
        <v>548935073</v>
      </c>
      <c r="H30" s="355">
        <f>+H18+H29</f>
        <v>960538843</v>
      </c>
      <c r="I30" s="356">
        <f>+I18+I29</f>
        <v>571766203</v>
      </c>
      <c r="J30" s="498"/>
    </row>
    <row r="31" spans="1:10" ht="13.5" thickBot="1">
      <c r="A31" s="148" t="s">
        <v>34</v>
      </c>
      <c r="B31" s="154" t="s">
        <v>114</v>
      </c>
      <c r="C31" s="355">
        <f>IF(C18-G18&lt;0,G18-C18,"-")</f>
        <v>160580767</v>
      </c>
      <c r="D31" s="355">
        <f>IF(D18-H18&lt;0,H18-D18,"-")</f>
        <v>489306731</v>
      </c>
      <c r="E31" s="356">
        <f>IF(E18-I18&lt;0,I18-E18,"-")</f>
        <v>287577540</v>
      </c>
      <c r="F31" s="154" t="s">
        <v>115</v>
      </c>
      <c r="G31" s="355" t="str">
        <f>IF(C18-G18&gt;0,C18-G18,"-")</f>
        <v>-</v>
      </c>
      <c r="H31" s="355" t="str">
        <f>IF(D18-H18&gt;0,D18-H18,"-")</f>
        <v>-</v>
      </c>
      <c r="I31" s="356" t="str">
        <f>IF(E18-I18&gt;0,E18-I18,"-")</f>
        <v>-</v>
      </c>
      <c r="J31" s="498"/>
    </row>
    <row r="32" spans="1:10" ht="13.5" thickBot="1">
      <c r="A32" s="148" t="s">
        <v>35</v>
      </c>
      <c r="B32" s="154" t="s">
        <v>515</v>
      </c>
      <c r="C32" s="355" t="str">
        <f>IF(C30-G30&lt;0,G30-C30,"-")</f>
        <v>-</v>
      </c>
      <c r="D32" s="355" t="str">
        <f>IF(D30-H30&lt;0,H30-D30,"-")</f>
        <v>-</v>
      </c>
      <c r="E32" s="355" t="str">
        <f>IF(E30-I30&lt;0,I30-E30,"-")</f>
        <v>-</v>
      </c>
      <c r="F32" s="154" t="s">
        <v>516</v>
      </c>
      <c r="G32" s="355">
        <f>IF(C30-G30&gt;0,C30-G30,"-")</f>
        <v>587307927</v>
      </c>
      <c r="H32" s="355">
        <f>IF(D30-H30&gt;0,D30-H30,"-")</f>
        <v>824479899</v>
      </c>
      <c r="I32" s="355">
        <f>IF(E30-I30&gt;0,E30-I30,"-")</f>
        <v>1026209090</v>
      </c>
      <c r="J32" s="498"/>
    </row>
    <row r="33" spans="2:10" ht="18.75">
      <c r="B33" s="497"/>
      <c r="C33" s="497"/>
      <c r="D33" s="497"/>
      <c r="E33" s="497"/>
      <c r="F33" s="497"/>
      <c r="J33" s="498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A1:J33"/>
  <sheetViews>
    <sheetView tabSelected="1" topLeftCell="C1" zoomScale="120" zoomScaleNormal="120" zoomScaleSheetLayoutView="115" workbookViewId="0">
      <selection activeCell="E21" sqref="E21"/>
    </sheetView>
  </sheetViews>
  <sheetFormatPr defaultRowHeight="12.75"/>
  <cols>
    <col min="1" max="1" width="6.83203125" style="33" customWidth="1"/>
    <col min="2" max="2" width="49.83203125" style="78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>
      <c r="A1" s="425"/>
      <c r="B1" s="431" t="s">
        <v>113</v>
      </c>
      <c r="C1" s="432"/>
      <c r="D1" s="432"/>
      <c r="E1" s="432"/>
      <c r="F1" s="432"/>
      <c r="G1" s="432"/>
      <c r="H1" s="432"/>
      <c r="I1" s="432"/>
      <c r="J1" s="498" t="str">
        <f>CONCATENATE("2.2. melléklet ",IB_ALAPADATOK!A7," ",IB_ALAPADATOK!B7," ",IB_ALAPADATOK!C7," ",IB_ALAPADATOK!D7)</f>
        <v xml:space="preserve">2.2. melléklet a 7/2019.(X.09.)  önkormányzati rendelethez </v>
      </c>
    </row>
    <row r="2" spans="1:10" ht="14.25" thickBot="1">
      <c r="A2" s="425"/>
      <c r="B2" s="424"/>
      <c r="C2" s="425"/>
      <c r="D2" s="425"/>
      <c r="E2" s="425"/>
      <c r="F2" s="425"/>
      <c r="G2" s="433"/>
      <c r="H2" s="433"/>
      <c r="I2" s="433" t="str">
        <f>'2.1.sz.mell'!I2</f>
        <v xml:space="preserve"> Forintban!</v>
      </c>
      <c r="J2" s="498"/>
    </row>
    <row r="3" spans="1:10" ht="13.5" customHeight="1" thickBot="1">
      <c r="A3" s="495" t="s">
        <v>55</v>
      </c>
      <c r="B3" s="434" t="s">
        <v>43</v>
      </c>
      <c r="C3" s="435"/>
      <c r="D3" s="436"/>
      <c r="E3" s="436"/>
      <c r="F3" s="434" t="s">
        <v>44</v>
      </c>
      <c r="G3" s="437"/>
      <c r="H3" s="438"/>
      <c r="I3" s="439"/>
      <c r="J3" s="498"/>
    </row>
    <row r="4" spans="1:10" s="141" customFormat="1" ht="36.75" thickBot="1">
      <c r="A4" s="496"/>
      <c r="B4" s="427" t="s">
        <v>48</v>
      </c>
      <c r="C4" s="393" t="str">
        <f>+CONCATENATE(_1.1.sz.mell.!C8," eredeti előirányzat")</f>
        <v>2019. évi eredeti előirányzat</v>
      </c>
      <c r="D4" s="391" t="str">
        <f>+CONCATENATE(_1.1.sz.mell.!C8," módosított előirányzat")</f>
        <v>2019. évi módosított előirányzat</v>
      </c>
      <c r="E4" s="391" t="str">
        <f>+CONCATENATE(LEFT(_1.1.sz.mell.!C8,4),". VI. 30. teljesítés")</f>
        <v>2019. VI. 30. teljesítés</v>
      </c>
      <c r="F4" s="427" t="s">
        <v>48</v>
      </c>
      <c r="G4" s="393" t="str">
        <f>+C4</f>
        <v>2019. évi eredeti előirányzat</v>
      </c>
      <c r="H4" s="393" t="str">
        <f>+D4</f>
        <v>2019. évi módosított előirányzat</v>
      </c>
      <c r="I4" s="392" t="str">
        <f>+E4</f>
        <v>2019. VI. 30. teljesítés</v>
      </c>
      <c r="J4" s="498"/>
    </row>
    <row r="5" spans="1:10" s="141" customFormat="1" ht="13.5" thickBot="1">
      <c r="A5" s="440" t="s">
        <v>404</v>
      </c>
      <c r="B5" s="441" t="s">
        <v>405</v>
      </c>
      <c r="C5" s="442" t="s">
        <v>406</v>
      </c>
      <c r="D5" s="442" t="s">
        <v>408</v>
      </c>
      <c r="E5" s="442" t="s">
        <v>407</v>
      </c>
      <c r="F5" s="441" t="s">
        <v>409</v>
      </c>
      <c r="G5" s="442" t="s">
        <v>410</v>
      </c>
      <c r="H5" s="443" t="s">
        <v>411</v>
      </c>
      <c r="I5" s="444" t="s">
        <v>442</v>
      </c>
      <c r="J5" s="498"/>
    </row>
    <row r="6" spans="1:10" ht="12.95" customHeight="1">
      <c r="A6" s="143" t="s">
        <v>9</v>
      </c>
      <c r="B6" s="144" t="s">
        <v>303</v>
      </c>
      <c r="C6" s="134"/>
      <c r="D6" s="134">
        <v>966322710</v>
      </c>
      <c r="E6" s="134">
        <v>966322710</v>
      </c>
      <c r="F6" s="144" t="s">
        <v>157</v>
      </c>
      <c r="G6" s="134">
        <v>562125000</v>
      </c>
      <c r="H6" s="295">
        <v>1331367150</v>
      </c>
      <c r="I6" s="164">
        <v>786565032</v>
      </c>
      <c r="J6" s="498"/>
    </row>
    <row r="7" spans="1:10">
      <c r="A7" s="145" t="s">
        <v>10</v>
      </c>
      <c r="B7" s="146" t="s">
        <v>304</v>
      </c>
      <c r="C7" s="135"/>
      <c r="D7" s="135"/>
      <c r="E7" s="135"/>
      <c r="F7" s="146" t="s">
        <v>309</v>
      </c>
      <c r="G7" s="135">
        <v>48247100</v>
      </c>
      <c r="H7" s="135"/>
      <c r="I7" s="287"/>
      <c r="J7" s="498"/>
    </row>
    <row r="8" spans="1:10" ht="12.95" customHeight="1">
      <c r="A8" s="145" t="s">
        <v>11</v>
      </c>
      <c r="B8" s="146" t="s">
        <v>4</v>
      </c>
      <c r="C8" s="135"/>
      <c r="D8" s="135">
        <v>1575</v>
      </c>
      <c r="E8" s="135">
        <v>1575</v>
      </c>
      <c r="F8" s="146" t="s">
        <v>132</v>
      </c>
      <c r="G8" s="135">
        <v>20000000</v>
      </c>
      <c r="H8" s="135">
        <v>449653061</v>
      </c>
      <c r="I8" s="287">
        <v>152953831</v>
      </c>
      <c r="J8" s="498"/>
    </row>
    <row r="9" spans="1:10" ht="12.95" customHeight="1">
      <c r="A9" s="145" t="s">
        <v>12</v>
      </c>
      <c r="B9" s="146" t="s">
        <v>305</v>
      </c>
      <c r="C9" s="135"/>
      <c r="D9" s="135">
        <v>2287000</v>
      </c>
      <c r="E9" s="135">
        <v>1815000</v>
      </c>
      <c r="F9" s="146" t="s">
        <v>310</v>
      </c>
      <c r="G9" s="135"/>
      <c r="H9" s="135"/>
      <c r="I9" s="287"/>
      <c r="J9" s="498"/>
    </row>
    <row r="10" spans="1:10" ht="12.75" customHeight="1">
      <c r="A10" s="145" t="s">
        <v>13</v>
      </c>
      <c r="B10" s="146" t="s">
        <v>306</v>
      </c>
      <c r="C10" s="135"/>
      <c r="D10" s="135"/>
      <c r="E10" s="135">
        <v>0</v>
      </c>
      <c r="F10" s="146" t="s">
        <v>159</v>
      </c>
      <c r="G10" s="135">
        <v>600000</v>
      </c>
      <c r="H10" s="135">
        <v>600000</v>
      </c>
      <c r="I10" s="287"/>
      <c r="J10" s="498"/>
    </row>
    <row r="11" spans="1:10" ht="12.95" customHeight="1">
      <c r="A11" s="145" t="s">
        <v>14</v>
      </c>
      <c r="B11" s="146" t="s">
        <v>307</v>
      </c>
      <c r="C11" s="136"/>
      <c r="D11" s="136">
        <v>0</v>
      </c>
      <c r="E11" s="136">
        <v>0</v>
      </c>
      <c r="F11" s="213"/>
      <c r="G11" s="135"/>
      <c r="H11" s="135"/>
      <c r="I11" s="287"/>
      <c r="J11" s="498"/>
    </row>
    <row r="12" spans="1:10" ht="12.95" customHeight="1">
      <c r="A12" s="145" t="s">
        <v>15</v>
      </c>
      <c r="B12" s="30"/>
      <c r="C12" s="135"/>
      <c r="D12" s="135"/>
      <c r="E12" s="135"/>
      <c r="F12" s="213"/>
      <c r="G12" s="135"/>
      <c r="H12" s="135"/>
      <c r="I12" s="287"/>
      <c r="J12" s="498"/>
    </row>
    <row r="13" spans="1:10" ht="12.95" customHeight="1">
      <c r="A13" s="145" t="s">
        <v>16</v>
      </c>
      <c r="B13" s="30"/>
      <c r="C13" s="135"/>
      <c r="D13" s="135"/>
      <c r="E13" s="135"/>
      <c r="F13" s="214"/>
      <c r="G13" s="135"/>
      <c r="H13" s="135"/>
      <c r="I13" s="287"/>
      <c r="J13" s="498"/>
    </row>
    <row r="14" spans="1:10" ht="12.95" customHeight="1">
      <c r="A14" s="145" t="s">
        <v>17</v>
      </c>
      <c r="B14" s="211"/>
      <c r="C14" s="136"/>
      <c r="D14" s="136"/>
      <c r="E14" s="136"/>
      <c r="F14" s="213"/>
      <c r="G14" s="135"/>
      <c r="H14" s="135"/>
      <c r="I14" s="287"/>
      <c r="J14" s="498"/>
    </row>
    <row r="15" spans="1:10">
      <c r="A15" s="145" t="s">
        <v>18</v>
      </c>
      <c r="B15" s="30"/>
      <c r="C15" s="136"/>
      <c r="D15" s="136"/>
      <c r="E15" s="136"/>
      <c r="F15" s="213"/>
      <c r="G15" s="135"/>
      <c r="H15" s="135"/>
      <c r="I15" s="287"/>
      <c r="J15" s="498"/>
    </row>
    <row r="16" spans="1:10" ht="12.95" customHeight="1" thickBot="1">
      <c r="A16" s="181" t="s">
        <v>19</v>
      </c>
      <c r="B16" s="212"/>
      <c r="C16" s="183"/>
      <c r="D16" s="183"/>
      <c r="E16" s="183"/>
      <c r="F16" s="182" t="s">
        <v>39</v>
      </c>
      <c r="G16" s="293"/>
      <c r="H16" s="293"/>
      <c r="I16" s="291"/>
      <c r="J16" s="498"/>
    </row>
    <row r="17" spans="1:10" ht="15.95" customHeight="1" thickBot="1">
      <c r="A17" s="148" t="s">
        <v>20</v>
      </c>
      <c r="B17" s="60" t="s">
        <v>317</v>
      </c>
      <c r="C17" s="138">
        <f>+C6+C8+C9+C11+C12+C13+C14+C15+C16</f>
        <v>0</v>
      </c>
      <c r="D17" s="138">
        <f>+D6+D8+D9+D11+D12+D13+D14+D15+D16</f>
        <v>968611285</v>
      </c>
      <c r="E17" s="138">
        <f>+E6+E8+E9+E11+E12+E13+E14+E15+E16</f>
        <v>968139285</v>
      </c>
      <c r="F17" s="60" t="s">
        <v>318</v>
      </c>
      <c r="G17" s="138">
        <f>+G6+G8+G10+G11+G12+G13+G14+G15+G16</f>
        <v>582725000</v>
      </c>
      <c r="H17" s="138">
        <f>+H6+H8+H10+H11+H12+H13+H14+H15+H16</f>
        <v>1781620211</v>
      </c>
      <c r="I17" s="166">
        <f>+I6+I8+I10+I11+I12+I13+I14+I15+I16</f>
        <v>939518863</v>
      </c>
      <c r="J17" s="498"/>
    </row>
    <row r="18" spans="1:10" ht="12.95" customHeight="1">
      <c r="A18" s="143" t="s">
        <v>21</v>
      </c>
      <c r="B18" s="156" t="s">
        <v>174</v>
      </c>
      <c r="C18" s="163">
        <f>+C19+C20+C21+C22+C23</f>
        <v>0</v>
      </c>
      <c r="D18" s="163">
        <f>+D19+D20+D21+D22+D23</f>
        <v>0</v>
      </c>
      <c r="E18" s="163">
        <f>+E19+E20+E21+E22+E23</f>
        <v>0</v>
      </c>
      <c r="F18" s="151" t="s">
        <v>136</v>
      </c>
      <c r="G18" s="294"/>
      <c r="H18" s="294"/>
      <c r="I18" s="292"/>
      <c r="J18" s="498"/>
    </row>
    <row r="19" spans="1:10" ht="12.95" customHeight="1">
      <c r="A19" s="145" t="s">
        <v>22</v>
      </c>
      <c r="B19" s="157" t="s">
        <v>163</v>
      </c>
      <c r="C19" s="49">
        <v>0</v>
      </c>
      <c r="D19" s="49">
        <v>0</v>
      </c>
      <c r="E19" s="49">
        <v>0</v>
      </c>
      <c r="F19" s="151" t="s">
        <v>139</v>
      </c>
      <c r="G19" s="49"/>
      <c r="H19" s="49"/>
      <c r="I19" s="290"/>
      <c r="J19" s="498"/>
    </row>
    <row r="20" spans="1:10" ht="12.95" customHeight="1">
      <c r="A20" s="143" t="s">
        <v>23</v>
      </c>
      <c r="B20" s="157" t="s">
        <v>164</v>
      </c>
      <c r="C20" s="49"/>
      <c r="D20" s="49"/>
      <c r="E20" s="49"/>
      <c r="F20" s="151" t="s">
        <v>110</v>
      </c>
      <c r="G20" s="49"/>
      <c r="H20" s="49"/>
      <c r="I20" s="290"/>
      <c r="J20" s="498"/>
    </row>
    <row r="21" spans="1:10" ht="12.95" customHeight="1">
      <c r="A21" s="145" t="s">
        <v>24</v>
      </c>
      <c r="B21" s="157" t="s">
        <v>165</v>
      </c>
      <c r="C21" s="49">
        <v>0</v>
      </c>
      <c r="D21" s="49"/>
      <c r="E21" s="49"/>
      <c r="F21" s="151" t="s">
        <v>111</v>
      </c>
      <c r="G21" s="49"/>
      <c r="H21" s="49"/>
      <c r="I21" s="290"/>
      <c r="J21" s="498"/>
    </row>
    <row r="22" spans="1:10" ht="12.95" customHeight="1">
      <c r="A22" s="143" t="s">
        <v>25</v>
      </c>
      <c r="B22" s="157" t="s">
        <v>166</v>
      </c>
      <c r="C22" s="49"/>
      <c r="D22" s="49">
        <v>0</v>
      </c>
      <c r="E22" s="49">
        <v>0</v>
      </c>
      <c r="F22" s="150" t="s">
        <v>162</v>
      </c>
      <c r="G22" s="49"/>
      <c r="H22" s="49"/>
      <c r="I22" s="290"/>
      <c r="J22" s="498"/>
    </row>
    <row r="23" spans="1:10" ht="12.95" customHeight="1">
      <c r="A23" s="145" t="s">
        <v>26</v>
      </c>
      <c r="B23" s="158" t="s">
        <v>167</v>
      </c>
      <c r="C23" s="49"/>
      <c r="D23" s="49"/>
      <c r="E23" s="49"/>
      <c r="F23" s="151" t="s">
        <v>140</v>
      </c>
      <c r="G23" s="49"/>
      <c r="H23" s="49"/>
      <c r="I23" s="290"/>
      <c r="J23" s="498"/>
    </row>
    <row r="24" spans="1:10" ht="12.95" customHeight="1">
      <c r="A24" s="143" t="s">
        <v>27</v>
      </c>
      <c r="B24" s="159" t="s">
        <v>168</v>
      </c>
      <c r="C24" s="153">
        <f>+C25+C26+C27+C28+C29</f>
        <v>0</v>
      </c>
      <c r="D24" s="153">
        <f>+D25+D26+D27+D28+D29</f>
        <v>0</v>
      </c>
      <c r="E24" s="153">
        <f>+E25+E26+E27+E28+E29</f>
        <v>0</v>
      </c>
      <c r="F24" s="160" t="s">
        <v>138</v>
      </c>
      <c r="G24" s="49"/>
      <c r="H24" s="49"/>
      <c r="I24" s="290"/>
      <c r="J24" s="498"/>
    </row>
    <row r="25" spans="1:10" ht="12.95" customHeight="1">
      <c r="A25" s="145" t="s">
        <v>28</v>
      </c>
      <c r="B25" s="158" t="s">
        <v>169</v>
      </c>
      <c r="C25" s="49"/>
      <c r="D25" s="49"/>
      <c r="E25" s="49"/>
      <c r="F25" s="160" t="s">
        <v>311</v>
      </c>
      <c r="G25" s="49"/>
      <c r="H25" s="49"/>
      <c r="I25" s="290"/>
      <c r="J25" s="498"/>
    </row>
    <row r="26" spans="1:10" ht="12.95" customHeight="1">
      <c r="A26" s="143" t="s">
        <v>29</v>
      </c>
      <c r="B26" s="158" t="s">
        <v>170</v>
      </c>
      <c r="C26" s="49"/>
      <c r="D26" s="49"/>
      <c r="E26" s="49"/>
      <c r="F26" s="155" t="s">
        <v>603</v>
      </c>
      <c r="G26" s="49">
        <v>4582927</v>
      </c>
      <c r="H26" s="49">
        <v>11470973</v>
      </c>
      <c r="I26" s="290">
        <v>11470973</v>
      </c>
      <c r="J26" s="498"/>
    </row>
    <row r="27" spans="1:10" ht="12.95" customHeight="1">
      <c r="A27" s="145" t="s">
        <v>30</v>
      </c>
      <c r="B27" s="157" t="s">
        <v>171</v>
      </c>
      <c r="C27" s="49"/>
      <c r="D27" s="49"/>
      <c r="E27" s="49"/>
      <c r="F27" s="58"/>
      <c r="G27" s="49"/>
      <c r="H27" s="49"/>
      <c r="I27" s="290"/>
      <c r="J27" s="498"/>
    </row>
    <row r="28" spans="1:10" ht="12.95" customHeight="1">
      <c r="A28" s="143" t="s">
        <v>31</v>
      </c>
      <c r="B28" s="161" t="s">
        <v>172</v>
      </c>
      <c r="C28" s="49"/>
      <c r="D28" s="49"/>
      <c r="E28" s="49"/>
      <c r="F28" s="30"/>
      <c r="G28" s="49"/>
      <c r="H28" s="49"/>
      <c r="I28" s="290"/>
      <c r="J28" s="498"/>
    </row>
    <row r="29" spans="1:10" ht="12.95" customHeight="1" thickBot="1">
      <c r="A29" s="145" t="s">
        <v>32</v>
      </c>
      <c r="B29" s="162" t="s">
        <v>173</v>
      </c>
      <c r="C29" s="49"/>
      <c r="D29" s="49"/>
      <c r="E29" s="49"/>
      <c r="F29" s="58"/>
      <c r="G29" s="49"/>
      <c r="H29" s="49"/>
      <c r="I29" s="290"/>
      <c r="J29" s="498"/>
    </row>
    <row r="30" spans="1:10" ht="21.75" customHeight="1" thickBot="1">
      <c r="A30" s="148" t="s">
        <v>33</v>
      </c>
      <c r="B30" s="60" t="s">
        <v>308</v>
      </c>
      <c r="C30" s="138">
        <f>+C18+C24</f>
        <v>0</v>
      </c>
      <c r="D30" s="138">
        <f>+D18+D24</f>
        <v>0</v>
      </c>
      <c r="E30" s="138">
        <f>+E18+E24</f>
        <v>0</v>
      </c>
      <c r="F30" s="60" t="s">
        <v>312</v>
      </c>
      <c r="G30" s="138">
        <f>SUM(G18:G29)</f>
        <v>4582927</v>
      </c>
      <c r="H30" s="138">
        <f>SUM(H18:H29)</f>
        <v>11470973</v>
      </c>
      <c r="I30" s="166">
        <f>SUM(I18:I29)</f>
        <v>11470973</v>
      </c>
      <c r="J30" s="498"/>
    </row>
    <row r="31" spans="1:10" ht="13.5" thickBot="1">
      <c r="A31" s="148" t="s">
        <v>34</v>
      </c>
      <c r="B31" s="154" t="s">
        <v>313</v>
      </c>
      <c r="C31" s="355">
        <f>+C17+C30</f>
        <v>0</v>
      </c>
      <c r="D31" s="355">
        <f>+D17+D30</f>
        <v>968611285</v>
      </c>
      <c r="E31" s="356">
        <f>+E17+E30</f>
        <v>968139285</v>
      </c>
      <c r="F31" s="154" t="s">
        <v>314</v>
      </c>
      <c r="G31" s="355">
        <f>+G17+G30</f>
        <v>587307927</v>
      </c>
      <c r="H31" s="355">
        <f>+H17+H30</f>
        <v>1793091184</v>
      </c>
      <c r="I31" s="356">
        <f>+I17+I30</f>
        <v>950989836</v>
      </c>
      <c r="J31" s="498"/>
    </row>
    <row r="32" spans="1:10" ht="13.5" thickBot="1">
      <c r="A32" s="148" t="s">
        <v>35</v>
      </c>
      <c r="B32" s="154" t="s">
        <v>114</v>
      </c>
      <c r="C32" s="355">
        <f>IF(C17-G17&lt;0,G17-C17,"-")</f>
        <v>582725000</v>
      </c>
      <c r="D32" s="355">
        <f>IF(D17-H17&lt;0,H17-D17,"-")</f>
        <v>813008926</v>
      </c>
      <c r="E32" s="356" t="str">
        <f>IF(E17-I17&lt;0,I17-E17,"-")</f>
        <v>-</v>
      </c>
      <c r="F32" s="154" t="s">
        <v>115</v>
      </c>
      <c r="G32" s="355" t="str">
        <f>IF(C17-G17&gt;0,C17-G17,"-")</f>
        <v>-</v>
      </c>
      <c r="H32" s="355" t="str">
        <f>IF(D17-H17&gt;0,D17-H17,"-")</f>
        <v>-</v>
      </c>
      <c r="I32" s="356">
        <f>IF(E17-I17&gt;0,E17-I17,"-")</f>
        <v>28620422</v>
      </c>
      <c r="J32" s="498"/>
    </row>
    <row r="33" spans="1:10" ht="13.5" thickBot="1">
      <c r="A33" s="148" t="s">
        <v>36</v>
      </c>
      <c r="B33" s="154" t="s">
        <v>515</v>
      </c>
      <c r="C33" s="355">
        <f>IF(C31-G31&lt;0,G31-C31,"-")</f>
        <v>587307927</v>
      </c>
      <c r="D33" s="355">
        <f>IF(D31-H31&lt;0,H31-D31,"-")</f>
        <v>824479899</v>
      </c>
      <c r="E33" s="355" t="str">
        <f>IF(E31-I31&lt;0,I31-E31,"-")</f>
        <v>-</v>
      </c>
      <c r="F33" s="154" t="s">
        <v>516</v>
      </c>
      <c r="G33" s="355" t="str">
        <f>IF(C31-G31&gt;0,C31-G31,"-")</f>
        <v>-</v>
      </c>
      <c r="H33" s="355" t="str">
        <f>IF(D31-H31&gt;0,D31-H31,"-")</f>
        <v>-</v>
      </c>
      <c r="I33" s="355">
        <f>IF(E31-I31&gt;0,E31-I31,"-")</f>
        <v>17149449</v>
      </c>
      <c r="J33" s="498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63</vt:i4>
      </vt:variant>
      <vt:variant>
        <vt:lpstr>Névvel ellátott tartományok</vt:lpstr>
      </vt:variant>
      <vt:variant>
        <vt:i4>52</vt:i4>
      </vt:variant>
    </vt:vector>
  </HeadingPairs>
  <TitlesOfParts>
    <vt:vector size="115" baseType="lpstr">
      <vt:lpstr>IB_TARTALOMJEGYZÉK</vt:lpstr>
      <vt:lpstr>IB_ALAPADATOK</vt:lpstr>
      <vt:lpstr>IB_ÖSSZEFÜGGÉSEK</vt:lpstr>
      <vt:lpstr>_1.1.sz.mell.</vt:lpstr>
      <vt:lpstr>_1.2.sz.mell.</vt:lpstr>
      <vt:lpstr>1.3.sz.mell.</vt:lpstr>
      <vt:lpstr>1.4.sz.mell.</vt:lpstr>
      <vt:lpstr>2.1.sz.mell</vt:lpstr>
      <vt:lpstr>2.2.sz.mell</vt:lpstr>
      <vt:lpstr>IB_ELLENŐRZÉS</vt:lpstr>
      <vt:lpstr>IB_3.sz.mell.</vt:lpstr>
      <vt:lpstr>IB_4.sz.mell.</vt:lpstr>
      <vt:lpstr>IB_5.sz.mell.</vt:lpstr>
      <vt:lpstr>9.1.sz.mell</vt:lpstr>
      <vt:lpstr>9.1.1.sz.mell</vt:lpstr>
      <vt:lpstr>9.1.2.sz.mell</vt:lpstr>
      <vt:lpstr>9.1.3.sz.mell</vt:lpstr>
      <vt:lpstr>9.2.sz.mell</vt:lpstr>
      <vt:lpstr>9.2.1.sz.mell</vt:lpstr>
      <vt:lpstr>IB_6.2.2.sz.mell</vt:lpstr>
      <vt:lpstr>9.2.3.sz.mell</vt:lpstr>
      <vt:lpstr>IB_9.3.sz.mell</vt:lpstr>
      <vt:lpstr>9.3.1.sz.mell</vt:lpstr>
      <vt:lpstr>IB_6.3.2.sz.mell</vt:lpstr>
      <vt:lpstr>IB_6.3.3.sz.mell</vt:lpstr>
      <vt:lpstr>9.4.sz.mell</vt:lpstr>
      <vt:lpstr>IB_9.4.1.sz.mell</vt:lpstr>
      <vt:lpstr>IB_6.4.2.sz.mell</vt:lpstr>
      <vt:lpstr>IB_6.4.3.sz.mell</vt:lpstr>
      <vt:lpstr>9.5.sz.mell</vt:lpstr>
      <vt:lpstr>9.5.1.sz.mell</vt:lpstr>
      <vt:lpstr>IB_6.5.2.sz.mell</vt:lpstr>
      <vt:lpstr>IB_6.5.3.sz.mell</vt:lpstr>
      <vt:lpstr>IB_6.6.sz.mell</vt:lpstr>
      <vt:lpstr>IB_6.6.1.sz.mell</vt:lpstr>
      <vt:lpstr>IB_6.6.2.sz.mell</vt:lpstr>
      <vt:lpstr>IB_6.6.3.sz.mell</vt:lpstr>
      <vt:lpstr>IB_6.7.sz.mell</vt:lpstr>
      <vt:lpstr>IB_6.7.1.sz.mell</vt:lpstr>
      <vt:lpstr>IB_6.7.2.sz.mell</vt:lpstr>
      <vt:lpstr>IB_6.7.3.sz.mell</vt:lpstr>
      <vt:lpstr>IB_6.8.sz.mell</vt:lpstr>
      <vt:lpstr>IB_6.8.1.sz.mell</vt:lpstr>
      <vt:lpstr>IB_6.8.2.sz.mell</vt:lpstr>
      <vt:lpstr>IB_6.8.3.sz.mell</vt:lpstr>
      <vt:lpstr>IB_6.9.sz.mell</vt:lpstr>
      <vt:lpstr>IB_6.9.1.sz.mell</vt:lpstr>
      <vt:lpstr>IB_6.9.2.sz.mell</vt:lpstr>
      <vt:lpstr>IB_6.9.3.sz.mell</vt:lpstr>
      <vt:lpstr>IB_6.10.sz.mell</vt:lpstr>
      <vt:lpstr>IB_6.10.1.sz.mell</vt:lpstr>
      <vt:lpstr>IB_6.10.2.sz.mell</vt:lpstr>
      <vt:lpstr>IB_6.10.3.sz.mell</vt:lpstr>
      <vt:lpstr>IB_6.11.sz.mell</vt:lpstr>
      <vt:lpstr>IB_6.11.1.sz.mell</vt:lpstr>
      <vt:lpstr>IB_6.11.2.sz.mell</vt:lpstr>
      <vt:lpstr>IB_6.11.3.sz.mell</vt:lpstr>
      <vt:lpstr>IB_6.12.sz.mell</vt:lpstr>
      <vt:lpstr>IB_6.12.1.sz.mell</vt:lpstr>
      <vt:lpstr>IB_6.12.2.sz.mell</vt:lpstr>
      <vt:lpstr>IB_6.12.3.sz.mell</vt:lpstr>
      <vt:lpstr>10.sz.mell.</vt:lpstr>
      <vt:lpstr>Munka1</vt:lpstr>
      <vt:lpstr>'9.1.1.sz.mell'!Nyomtatási_cím</vt:lpstr>
      <vt:lpstr>'9.1.2.sz.mell'!Nyomtatási_cím</vt:lpstr>
      <vt:lpstr>'9.1.3.sz.mell'!Nyomtatási_cím</vt:lpstr>
      <vt:lpstr>'9.1.sz.mell'!Nyomtatási_cím</vt:lpstr>
      <vt:lpstr>'9.2.1.sz.mell'!Nyomtatási_cím</vt:lpstr>
      <vt:lpstr>'9.2.3.sz.mell'!Nyomtatási_cím</vt:lpstr>
      <vt:lpstr>'9.2.sz.mell'!Nyomtatási_cím</vt:lpstr>
      <vt:lpstr>'9.3.1.sz.mell'!Nyomtatási_cím</vt:lpstr>
      <vt:lpstr>'9.4.sz.mell'!Nyomtatási_cím</vt:lpstr>
      <vt:lpstr>'9.5.1.sz.mell'!Nyomtatási_cím</vt:lpstr>
      <vt:lpstr>'9.5.sz.mell'!Nyomtatási_cím</vt:lpstr>
      <vt:lpstr>IB_6.10.1.sz.mell!Nyomtatási_cím</vt:lpstr>
      <vt:lpstr>IB_6.10.2.sz.mell!Nyomtatási_cím</vt:lpstr>
      <vt:lpstr>IB_6.10.3.sz.mell!Nyomtatási_cím</vt:lpstr>
      <vt:lpstr>IB_6.10.sz.mell!Nyomtatási_cím</vt:lpstr>
      <vt:lpstr>IB_6.11.1.sz.mell!Nyomtatási_cím</vt:lpstr>
      <vt:lpstr>IB_6.11.2.sz.mell!Nyomtatási_cím</vt:lpstr>
      <vt:lpstr>IB_6.11.3.sz.mell!Nyomtatási_cím</vt:lpstr>
      <vt:lpstr>IB_6.11.sz.mell!Nyomtatási_cím</vt:lpstr>
      <vt:lpstr>IB_6.12.1.sz.mell!Nyomtatási_cím</vt:lpstr>
      <vt:lpstr>IB_6.12.2.sz.mell!Nyomtatási_cím</vt:lpstr>
      <vt:lpstr>IB_6.12.3.sz.mell!Nyomtatási_cím</vt:lpstr>
      <vt:lpstr>IB_6.12.sz.mell!Nyomtatási_cím</vt:lpstr>
      <vt:lpstr>IB_6.2.2.sz.mell!Nyomtatási_cím</vt:lpstr>
      <vt:lpstr>IB_6.3.2.sz.mell!Nyomtatási_cím</vt:lpstr>
      <vt:lpstr>IB_6.3.3.sz.mell!Nyomtatási_cím</vt:lpstr>
      <vt:lpstr>IB_6.4.2.sz.mell!Nyomtatási_cím</vt:lpstr>
      <vt:lpstr>IB_6.4.3.sz.mell!Nyomtatási_cím</vt:lpstr>
      <vt:lpstr>IB_6.5.2.sz.mell!Nyomtatási_cím</vt:lpstr>
      <vt:lpstr>IB_6.5.3.sz.mell!Nyomtatási_cím</vt:lpstr>
      <vt:lpstr>IB_6.6.1.sz.mell!Nyomtatási_cím</vt:lpstr>
      <vt:lpstr>IB_6.6.2.sz.mell!Nyomtatási_cím</vt:lpstr>
      <vt:lpstr>IB_6.6.3.sz.mell!Nyomtatási_cím</vt:lpstr>
      <vt:lpstr>IB_6.6.sz.mell!Nyomtatási_cím</vt:lpstr>
      <vt:lpstr>IB_6.7.1.sz.mell!Nyomtatási_cím</vt:lpstr>
      <vt:lpstr>IB_6.7.2.sz.mell!Nyomtatási_cím</vt:lpstr>
      <vt:lpstr>IB_6.7.3.sz.mell!Nyomtatási_cím</vt:lpstr>
      <vt:lpstr>IB_6.7.sz.mell!Nyomtatási_cím</vt:lpstr>
      <vt:lpstr>IB_6.8.1.sz.mell!Nyomtatási_cím</vt:lpstr>
      <vt:lpstr>IB_6.8.2.sz.mell!Nyomtatási_cím</vt:lpstr>
      <vt:lpstr>IB_6.8.3.sz.mell!Nyomtatási_cím</vt:lpstr>
      <vt:lpstr>IB_6.8.sz.mell!Nyomtatási_cím</vt:lpstr>
      <vt:lpstr>IB_6.9.1.sz.mell!Nyomtatási_cím</vt:lpstr>
      <vt:lpstr>IB_6.9.2.sz.mell!Nyomtatási_cím</vt:lpstr>
      <vt:lpstr>IB_6.9.3.sz.mell!Nyomtatási_cím</vt:lpstr>
      <vt:lpstr>IB_6.9.sz.mell!Nyomtatási_cím</vt:lpstr>
      <vt:lpstr>IB_9.3.sz.mell!Nyomtatási_cím</vt:lpstr>
      <vt:lpstr>IB_9.4.1.sz.mell!Nyomtatási_cím</vt:lpstr>
      <vt:lpstr>_1.1.sz.mell.!Nyomtatási_terület</vt:lpstr>
      <vt:lpstr>_1.2.sz.mell.!Nyomtatási_terület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Hivatali</cp:lastModifiedBy>
  <cp:lastPrinted>2019-10-09T08:23:27Z</cp:lastPrinted>
  <dcterms:created xsi:type="dcterms:W3CDTF">1999-10-30T10:30:45Z</dcterms:created>
  <dcterms:modified xsi:type="dcterms:W3CDTF">2019-10-09T08:37:38Z</dcterms:modified>
</cp:coreProperties>
</file>